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codeName="ThisWorkbook" autoCompressPictures="0"/>
  <mc:AlternateContent xmlns:mc="http://schemas.openxmlformats.org/markup-compatibility/2006">
    <mc:Choice Requires="x15">
      <x15ac:absPath xmlns:x15ac="http://schemas.microsoft.com/office/spreadsheetml/2010/11/ac" url="C:\Users\pservenack\Desktop\pjs 2021wk31 thu\Z - QMS\"/>
    </mc:Choice>
  </mc:AlternateContent>
  <xr:revisionPtr revIDLastSave="0" documentId="13_ncr:1_{E7075C51-4FAC-48F5-B4E8-DD9F8043DB3E}" xr6:coauthVersionLast="36" xr6:coauthVersionMax="45"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0" yWindow="0" windowWidth="20340" windowHeight="11025"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B5" i="5" l="1"/>
  <c r="C5" i="5"/>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B56" i="6"/>
  <c r="G56" i="6" l="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s="1"/>
  <c r="B45" i="6"/>
  <c r="G45" i="6" s="1"/>
  <c r="B43" i="6"/>
  <c r="G43" i="6"/>
  <c r="B42" i="6"/>
  <c r="G42" i="6"/>
  <c r="B41" i="6"/>
  <c r="G41" i="6"/>
  <c r="B40" i="6"/>
  <c r="G40" i="6" s="1"/>
  <c r="B38" i="6"/>
  <c r="G38" i="6"/>
  <c r="B37" i="6"/>
  <c r="G37" i="6"/>
  <c r="B36" i="6"/>
  <c r="G36" i="6"/>
  <c r="B35" i="6"/>
  <c r="G35" i="6" s="1"/>
  <c r="B33" i="6"/>
  <c r="G33" i="6"/>
  <c r="B32" i="6"/>
  <c r="G32" i="6"/>
  <c r="B31" i="6"/>
  <c r="G31" i="6"/>
  <c r="B30" i="6"/>
  <c r="G30" i="6" s="1"/>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s="1"/>
  <c r="H13" i="6" s="1"/>
  <c r="D13" i="6" s="1"/>
  <c r="B12" i="6"/>
  <c r="G12" i="6" s="1"/>
  <c r="H12" i="6" s="1"/>
  <c r="D12" i="6" s="1"/>
  <c r="B11" i="6"/>
  <c r="G11" i="6" s="1"/>
  <c r="H11" i="6" s="1"/>
  <c r="D11" i="6" s="1"/>
  <c r="B10" i="6"/>
  <c r="G10" i="6" s="1"/>
  <c r="H10" i="6" s="1"/>
  <c r="D10" i="6" s="1"/>
  <c r="B9" i="6"/>
  <c r="G9" i="6"/>
  <c r="H9" i="6" s="1"/>
  <c r="D9" i="6" s="1"/>
  <c r="B8" i="6"/>
  <c r="G8" i="6" s="1"/>
  <c r="H8" i="6" s="1"/>
  <c r="D8" i="6" s="1"/>
  <c r="B7" i="6"/>
  <c r="G7" i="6" s="1"/>
  <c r="H7" i="6" s="1"/>
  <c r="D7" i="6" s="1"/>
  <c r="B4" i="6"/>
  <c r="G4" i="6" s="1"/>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B1426" i="5"/>
  <c r="B1425" i="5"/>
  <c r="B1424" i="5"/>
  <c r="V1423" i="5"/>
  <c r="R1423" i="5" s="1"/>
  <c r="B1423" i="5"/>
  <c r="B1422" i="5"/>
  <c r="B1421" i="5"/>
  <c r="B1420" i="5"/>
  <c r="V1419" i="5"/>
  <c r="F1419" i="5" s="1"/>
  <c r="B1419" i="5"/>
  <c r="B1418" i="5"/>
  <c r="V1417" i="5"/>
  <c r="B1417" i="5"/>
  <c r="V1416" i="5"/>
  <c r="H1416" i="5" s="1"/>
  <c r="B1416" i="5"/>
  <c r="V1415" i="5"/>
  <c r="F1415" i="5" s="1"/>
  <c r="B1415" i="5"/>
  <c r="S1415" i="5" s="1"/>
  <c r="B1414" i="5"/>
  <c r="B1413" i="5"/>
  <c r="T1413" i="5" s="1"/>
  <c r="B1412" i="5"/>
  <c r="AB1412" i="5" s="1"/>
  <c r="V1411" i="5"/>
  <c r="F1411" i="5" s="1"/>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T1174" i="5" s="1"/>
  <c r="B1173" i="5"/>
  <c r="B1172" i="5"/>
  <c r="AB1172" i="5" s="1"/>
  <c r="B1171" i="5"/>
  <c r="B1170" i="5"/>
  <c r="V1169" i="5"/>
  <c r="B1169" i="5"/>
  <c r="B1168" i="5"/>
  <c r="V1167" i="5"/>
  <c r="B1167" i="5"/>
  <c r="B1166" i="5"/>
  <c r="T1166" i="5" s="1"/>
  <c r="B1165" i="5"/>
  <c r="B1164" i="5"/>
  <c r="V1163" i="5"/>
  <c r="B1163" i="5"/>
  <c r="B1162" i="5"/>
  <c r="V1161" i="5"/>
  <c r="B1161" i="5"/>
  <c r="T1161" i="5" s="1"/>
  <c r="V1160" i="5"/>
  <c r="B1160" i="5"/>
  <c r="V1159" i="5"/>
  <c r="E1159" i="5" s="1"/>
  <c r="X1159" i="5" s="1"/>
  <c r="B1159" i="5"/>
  <c r="S1159" i="5" s="1"/>
  <c r="B1158" i="5"/>
  <c r="B1157" i="5"/>
  <c r="V1156" i="5"/>
  <c r="B1156" i="5"/>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E1103" i="5" s="1"/>
  <c r="X1103" i="5" s="1"/>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J1092" i="5" s="1"/>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B1079" i="5"/>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B1043" i="5"/>
  <c r="B1042" i="5"/>
  <c r="B1041" i="5"/>
  <c r="V1040" i="5"/>
  <c r="B1040" i="5"/>
  <c r="B1039" i="5"/>
  <c r="B1038" i="5"/>
  <c r="B1037" i="5"/>
  <c r="T1037" i="5" s="1"/>
  <c r="V1036" i="5"/>
  <c r="B1036" i="5"/>
  <c r="B1035" i="5"/>
  <c r="AB1035" i="5" s="1"/>
  <c r="B1034" i="5"/>
  <c r="S1034" i="5" s="1"/>
  <c r="B1033" i="5"/>
  <c r="V1032" i="5"/>
  <c r="F1032" i="5" s="1"/>
  <c r="B1032" i="5"/>
  <c r="B1031" i="5"/>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S967" i="5" s="1"/>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F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S925" i="5" s="1"/>
  <c r="B924" i="5"/>
  <c r="B923" i="5"/>
  <c r="T923" i="5" s="1"/>
  <c r="B922" i="5"/>
  <c r="T922" i="5" s="1"/>
  <c r="B921" i="5"/>
  <c r="B920" i="5"/>
  <c r="S920" i="5" s="1"/>
  <c r="B919" i="5"/>
  <c r="AB919" i="5" s="1"/>
  <c r="B918" i="5"/>
  <c r="B917" i="5"/>
  <c r="S917" i="5" s="1"/>
  <c r="V916" i="5"/>
  <c r="F916" i="5" s="1"/>
  <c r="B916" i="5"/>
  <c r="T916" i="5" s="1"/>
  <c r="V915" i="5"/>
  <c r="B915" i="5"/>
  <c r="B914" i="5"/>
  <c r="S914" i="5" s="1"/>
  <c r="B913" i="5"/>
  <c r="T913" i="5" s="1"/>
  <c r="B912" i="5"/>
  <c r="B911" i="5"/>
  <c r="B910" i="5"/>
  <c r="B909" i="5"/>
  <c r="S909" i="5" s="1"/>
  <c r="V908" i="5"/>
  <c r="G908" i="5" s="1"/>
  <c r="B908" i="5"/>
  <c r="T908" i="5" s="1"/>
  <c r="V907" i="5"/>
  <c r="I907" i="5" s="1"/>
  <c r="B907" i="5"/>
  <c r="AB907" i="5" s="1"/>
  <c r="B906" i="5"/>
  <c r="B905" i="5"/>
  <c r="S905" i="5" s="1"/>
  <c r="B904" i="5"/>
  <c r="AB904" i="5" s="1"/>
  <c r="V903" i="5"/>
  <c r="J903" i="5" s="1"/>
  <c r="B903" i="5"/>
  <c r="AB903" i="5" s="1"/>
  <c r="B902" i="5"/>
  <c r="B901" i="5"/>
  <c r="S901" i="5" s="1"/>
  <c r="B900" i="5"/>
  <c r="V899" i="5"/>
  <c r="B899" i="5"/>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B879" i="5"/>
  <c r="T879" i="5" s="1"/>
  <c r="B878" i="5"/>
  <c r="S878" i="5" s="1"/>
  <c r="B877" i="5"/>
  <c r="V876" i="5"/>
  <c r="B876" i="5"/>
  <c r="AB876" i="5" s="1"/>
  <c r="V875" i="5"/>
  <c r="B875" i="5"/>
  <c r="B874" i="5"/>
  <c r="B873" i="5"/>
  <c r="B872" i="5"/>
  <c r="V871" i="5"/>
  <c r="B871" i="5"/>
  <c r="B870" i="5"/>
  <c r="S870" i="5" s="1"/>
  <c r="B869" i="5"/>
  <c r="V868" i="5"/>
  <c r="B868" i="5"/>
  <c r="B867" i="5"/>
  <c r="B866" i="5"/>
  <c r="B865" i="5"/>
  <c r="S865" i="5" s="1"/>
  <c r="B864" i="5"/>
  <c r="B863" i="5"/>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B847" i="5"/>
  <c r="S847" i="5" s="1"/>
  <c r="B846" i="5"/>
  <c r="S846" i="5" s="1"/>
  <c r="B845" i="5"/>
  <c r="B844" i="5"/>
  <c r="B843" i="5"/>
  <c r="AB843" i="5" s="1"/>
  <c r="B842" i="5"/>
  <c r="B841" i="5"/>
  <c r="B840" i="5"/>
  <c r="V839" i="5"/>
  <c r="B839" i="5"/>
  <c r="B838" i="5"/>
  <c r="S838" i="5" s="1"/>
  <c r="B837" i="5"/>
  <c r="S837" i="5" s="1"/>
  <c r="B836" i="5"/>
  <c r="V835" i="5"/>
  <c r="B835" i="5"/>
  <c r="B834" i="5"/>
  <c r="B833" i="5"/>
  <c r="B832" i="5"/>
  <c r="AB832" i="5" s="1"/>
  <c r="V831" i="5"/>
  <c r="B831" i="5"/>
  <c r="T831" i="5" s="1"/>
  <c r="B830" i="5"/>
  <c r="S830" i="5" s="1"/>
  <c r="B829" i="5"/>
  <c r="B828" i="5"/>
  <c r="B827" i="5"/>
  <c r="T827" i="5" s="1"/>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S797" i="5" s="1"/>
  <c r="B796" i="5"/>
  <c r="AB796" i="5" s="1"/>
  <c r="B795" i="5"/>
  <c r="B794" i="5"/>
  <c r="B793" i="5"/>
  <c r="S793" i="5" s="1"/>
  <c r="V792" i="5"/>
  <c r="I792" i="5" s="1"/>
  <c r="B792" i="5"/>
  <c r="B791" i="5"/>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B772" i="5"/>
  <c r="B771" i="5"/>
  <c r="B770" i="5"/>
  <c r="B769" i="5"/>
  <c r="S769" i="5" s="1"/>
  <c r="B768" i="5"/>
  <c r="B767" i="5"/>
  <c r="AB767" i="5" s="1"/>
  <c r="B766" i="5"/>
  <c r="B765" i="5"/>
  <c r="S765" i="5" s="1"/>
  <c r="B764" i="5"/>
  <c r="V763" i="5"/>
  <c r="I763" i="5" s="1"/>
  <c r="B763" i="5"/>
  <c r="B762" i="5"/>
  <c r="V761" i="5"/>
  <c r="B761" i="5"/>
  <c r="AB761" i="5" s="1"/>
  <c r="B760" i="5"/>
  <c r="S760" i="5" s="1"/>
  <c r="V759" i="5"/>
  <c r="B759" i="5"/>
  <c r="B758" i="5"/>
  <c r="S758" i="5" s="1"/>
  <c r="B757" i="5"/>
  <c r="B756" i="5"/>
  <c r="V755" i="5"/>
  <c r="B755" i="5"/>
  <c r="B754" i="5"/>
  <c r="S754" i="5" s="1"/>
  <c r="V753" i="5"/>
  <c r="B753" i="5"/>
  <c r="B752" i="5"/>
  <c r="T752" i="5" s="1"/>
  <c r="V751" i="5"/>
  <c r="B751" i="5"/>
  <c r="S751" i="5" s="1"/>
  <c r="B750" i="5"/>
  <c r="B749" i="5"/>
  <c r="T749" i="5" s="1"/>
  <c r="B748" i="5"/>
  <c r="AB748" i="5" s="1"/>
  <c r="V747" i="5"/>
  <c r="B747" i="5"/>
  <c r="S747" i="5" s="1"/>
  <c r="B746" i="5"/>
  <c r="V745" i="5"/>
  <c r="H745" i="5" s="1"/>
  <c r="B745" i="5"/>
  <c r="B744" i="5"/>
  <c r="V743" i="5"/>
  <c r="G743" i="5" s="1"/>
  <c r="B743" i="5"/>
  <c r="B742" i="5"/>
  <c r="T742" i="5" s="1"/>
  <c r="B741" i="5"/>
  <c r="B740" i="5"/>
  <c r="AB740" i="5" s="1"/>
  <c r="V739" i="5"/>
  <c r="B739" i="5"/>
  <c r="B738" i="5"/>
  <c r="V737" i="5"/>
  <c r="G737" i="5" s="1"/>
  <c r="B737" i="5"/>
  <c r="B736" i="5"/>
  <c r="S736" i="5" s="1"/>
  <c r="V735" i="5"/>
  <c r="B735" i="5"/>
  <c r="AB735" i="5" s="1"/>
  <c r="B734" i="5"/>
  <c r="B733" i="5"/>
  <c r="T733" i="5" s="1"/>
  <c r="B732" i="5"/>
  <c r="T732" i="5" s="1"/>
  <c r="V731" i="5"/>
  <c r="B731" i="5"/>
  <c r="B730" i="5"/>
  <c r="T730" i="5" s="1"/>
  <c r="V729" i="5"/>
  <c r="B729" i="5"/>
  <c r="B728" i="5"/>
  <c r="V727" i="5"/>
  <c r="F727" i="5" s="1"/>
  <c r="B727" i="5"/>
  <c r="B726" i="5"/>
  <c r="B725" i="5"/>
  <c r="B724" i="5"/>
  <c r="V723" i="5"/>
  <c r="G723" i="5" s="1"/>
  <c r="B723" i="5"/>
  <c r="B722" i="5"/>
  <c r="V721" i="5"/>
  <c r="J721" i="5" s="1"/>
  <c r="B721" i="5"/>
  <c r="AB721" i="5" s="1"/>
  <c r="B720" i="5"/>
  <c r="T720" i="5" s="1"/>
  <c r="V719" i="5"/>
  <c r="B719" i="5"/>
  <c r="S719" i="5" s="1"/>
  <c r="B718" i="5"/>
  <c r="B717" i="5"/>
  <c r="T717" i="5" s="1"/>
  <c r="B716" i="5"/>
  <c r="V715" i="5"/>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B689" i="5"/>
  <c r="S689" i="5" s="1"/>
  <c r="B688" i="5"/>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S607" i="5" s="1"/>
  <c r="B606" i="5"/>
  <c r="B605" i="5"/>
  <c r="V604" i="5"/>
  <c r="B604" i="5"/>
  <c r="B603" i="5"/>
  <c r="AB603" i="5" s="1"/>
  <c r="B602" i="5"/>
  <c r="B601" i="5"/>
  <c r="V600" i="5"/>
  <c r="R600" i="5" s="1"/>
  <c r="B600" i="5"/>
  <c r="V599" i="5"/>
  <c r="J599" i="5" s="1"/>
  <c r="B599" i="5"/>
  <c r="AB599" i="5" s="1"/>
  <c r="B598" i="5"/>
  <c r="B597" i="5"/>
  <c r="V596" i="5"/>
  <c r="J596" i="5" s="1"/>
  <c r="B596" i="5"/>
  <c r="B595" i="5"/>
  <c r="B594" i="5"/>
  <c r="B593" i="5"/>
  <c r="V592" i="5"/>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F576" i="5" s="1"/>
  <c r="B576" i="5"/>
  <c r="T576" i="5" s="1"/>
  <c r="V575" i="5"/>
  <c r="B575" i="5"/>
  <c r="T575" i="5" s="1"/>
  <c r="B574" i="5"/>
  <c r="B573" i="5"/>
  <c r="V572" i="5"/>
  <c r="F572" i="5" s="1"/>
  <c r="B572" i="5"/>
  <c r="S572" i="5" s="1"/>
  <c r="V571" i="5"/>
  <c r="H571" i="5" s="1"/>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V375" i="5"/>
  <c r="B375" i="5"/>
  <c r="S375" i="5" s="1"/>
  <c r="B374" i="5"/>
  <c r="S374" i="5" s="1"/>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V312" i="5"/>
  <c r="F312" i="5" s="1"/>
  <c r="B312" i="5"/>
  <c r="B311" i="5"/>
  <c r="AB311" i="5" s="1"/>
  <c r="B310" i="5"/>
  <c r="B309" i="5"/>
  <c r="V308" i="5"/>
  <c r="B308" i="5"/>
  <c r="B307" i="5"/>
  <c r="B306" i="5"/>
  <c r="T306" i="5" s="1"/>
  <c r="B305" i="5"/>
  <c r="T305" i="5" s="1"/>
  <c r="V304" i="5"/>
  <c r="I304" i="5" s="1"/>
  <c r="B304" i="5"/>
  <c r="S304" i="5" s="1"/>
  <c r="B303" i="5"/>
  <c r="B302" i="5"/>
  <c r="B301" i="5"/>
  <c r="T301" i="5" s="1"/>
  <c r="V300" i="5"/>
  <c r="H300" i="5" s="1"/>
  <c r="B300" i="5"/>
  <c r="V299" i="5"/>
  <c r="B299" i="5"/>
  <c r="S299" i="5" s="1"/>
  <c r="B298" i="5"/>
  <c r="B297" i="5"/>
  <c r="V296" i="5"/>
  <c r="G296" i="5" s="1"/>
  <c r="B296" i="5"/>
  <c r="B295" i="5"/>
  <c r="S295" i="5" s="1"/>
  <c r="B294" i="5"/>
  <c r="B293" i="5"/>
  <c r="B292" i="5"/>
  <c r="AB292" i="5" s="1"/>
  <c r="B291" i="5"/>
  <c r="B290" i="5"/>
  <c r="T290" i="5" s="1"/>
  <c r="B289" i="5"/>
  <c r="S289" i="5" s="1"/>
  <c r="V288" i="5"/>
  <c r="B288" i="5"/>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B227" i="5"/>
  <c r="B226" i="5"/>
  <c r="S226" i="5" s="1"/>
  <c r="B225" i="5"/>
  <c r="V224" i="5"/>
  <c r="F224" i="5" s="1"/>
  <c r="B224" i="5"/>
  <c r="V223" i="5"/>
  <c r="B223" i="5"/>
  <c r="AB223" i="5" s="1"/>
  <c r="B222" i="5"/>
  <c r="B221" i="5"/>
  <c r="S221" i="5" s="1"/>
  <c r="V220" i="5"/>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S105" i="5" s="1"/>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B21" i="4" s="1"/>
  <c r="A12" i="6" s="1"/>
  <c r="S1527" i="5"/>
  <c r="R1868" i="5"/>
  <c r="G2323" i="5"/>
  <c r="G1937" i="5"/>
  <c r="G1896" i="5"/>
  <c r="E2111" i="5"/>
  <c r="X2111" i="5" s="1"/>
  <c r="AB1473" i="5"/>
  <c r="T1111" i="5"/>
  <c r="R1860" i="5"/>
  <c r="S1836" i="5"/>
  <c r="S1139" i="5"/>
  <c r="V780" i="5"/>
  <c r="T1465" i="5"/>
  <c r="V924" i="5"/>
  <c r="G1772" i="5"/>
  <c r="G2079" i="5"/>
  <c r="T1135" i="5"/>
  <c r="V1732" i="5"/>
  <c r="I1732" i="5" s="1"/>
  <c r="G1947" i="5"/>
  <c r="E1947" i="5"/>
  <c r="X1947" i="5" s="1"/>
  <c r="E2015" i="5"/>
  <c r="X2015" i="5" s="1"/>
  <c r="J2015" i="5"/>
  <c r="F2459" i="5"/>
  <c r="T527" i="5"/>
  <c r="S1121" i="5"/>
  <c r="AB777" i="5"/>
  <c r="V1355" i="5"/>
  <c r="I1355" i="5" s="1"/>
  <c r="S1427" i="5"/>
  <c r="T1427" i="5"/>
  <c r="S706" i="5"/>
  <c r="AB1508" i="5"/>
  <c r="H1772" i="5"/>
  <c r="T2047" i="5"/>
  <c r="S2067" i="5"/>
  <c r="V2080" i="5"/>
  <c r="R2080" i="5" s="1"/>
  <c r="V2160" i="5"/>
  <c r="S2301" i="5"/>
  <c r="S2481" i="5"/>
  <c r="H1800" i="5"/>
  <c r="H2081" i="5"/>
  <c r="T1519" i="5"/>
  <c r="V2011" i="5"/>
  <c r="V2264" i="5"/>
  <c r="H2264" i="5" s="1"/>
  <c r="G2363" i="5"/>
  <c r="V400" i="5"/>
  <c r="T871" i="5"/>
  <c r="S871" i="5"/>
  <c r="T701" i="5"/>
  <c r="S701" i="5"/>
  <c r="V815" i="5"/>
  <c r="AB865" i="5"/>
  <c r="T163" i="5"/>
  <c r="T1545" i="5"/>
  <c r="S695" i="5"/>
  <c r="T695" i="5"/>
  <c r="V657" i="5"/>
  <c r="F657" i="5" s="1"/>
  <c r="V799" i="5"/>
  <c r="V1353" i="5"/>
  <c r="V887" i="5"/>
  <c r="R887" i="5" s="1"/>
  <c r="T683" i="5"/>
  <c r="V772" i="5"/>
  <c r="G772" i="5" s="1"/>
  <c r="V923" i="5"/>
  <c r="AB1049" i="5"/>
  <c r="S1093" i="5"/>
  <c r="V1096" i="5"/>
  <c r="V840" i="5"/>
  <c r="V787" i="5"/>
  <c r="V771" i="5"/>
  <c r="E771" i="5" s="1"/>
  <c r="X771" i="5" s="1"/>
  <c r="S1085" i="5"/>
  <c r="T1085" i="5"/>
  <c r="V832" i="5"/>
  <c r="E832" i="5" s="1"/>
  <c r="X832" i="5" s="1"/>
  <c r="V844" i="5"/>
  <c r="V951" i="5"/>
  <c r="S1147" i="5"/>
  <c r="I1327" i="5"/>
  <c r="T1551" i="5"/>
  <c r="AB1015" i="5"/>
  <c r="AB1031" i="5"/>
  <c r="AB1079" i="5"/>
  <c r="V1164" i="5"/>
  <c r="R1164" i="5" s="1"/>
  <c r="AB1328" i="5"/>
  <c r="AB963" i="5"/>
  <c r="T967" i="5"/>
  <c r="AB995" i="5"/>
  <c r="G1271" i="5"/>
  <c r="S963" i="5"/>
  <c r="S995" i="5"/>
  <c r="AB1047" i="5"/>
  <c r="T1047" i="5"/>
  <c r="V1412" i="5"/>
  <c r="AB1420" i="5"/>
  <c r="F1372" i="5"/>
  <c r="G1084" i="5"/>
  <c r="AB1256" i="5"/>
  <c r="S1473" i="5"/>
  <c r="S1505" i="5"/>
  <c r="AB1465" i="5"/>
  <c r="AB1527" i="5"/>
  <c r="S1655" i="5"/>
  <c r="J1913" i="5"/>
  <c r="F1913" i="5"/>
  <c r="AB1531"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AB1876" i="5"/>
  <c r="V1907" i="5"/>
  <c r="J1907" i="5" s="1"/>
  <c r="J1947" i="5"/>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S2321" i="5"/>
  <c r="V2464" i="5"/>
  <c r="E2464" i="5" s="1"/>
  <c r="X2464" i="5" s="1"/>
  <c r="V376" i="5"/>
  <c r="V280" i="5"/>
  <c r="F372" i="5"/>
  <c r="V512" i="5"/>
  <c r="I512" i="5" s="1"/>
  <c r="T515" i="5"/>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105" i="5"/>
  <c r="AB105" i="5"/>
  <c r="J224" i="5"/>
  <c r="T312" i="5"/>
  <c r="AB312" i="5"/>
  <c r="V316" i="5"/>
  <c r="G316" i="5" s="1"/>
  <c r="V424" i="5"/>
  <c r="R424" i="5" s="1"/>
  <c r="V516" i="5"/>
  <c r="I516" i="5" s="1"/>
  <c r="T751" i="5"/>
  <c r="V1128" i="5"/>
  <c r="V1207" i="5"/>
  <c r="I1207" i="5" s="1"/>
  <c r="T563" i="5"/>
  <c r="AB756" i="5"/>
  <c r="V768" i="5"/>
  <c r="AB793" i="5"/>
  <c r="V807" i="5"/>
  <c r="V820" i="5"/>
  <c r="G820" i="5" s="1"/>
  <c r="S827" i="5"/>
  <c r="V855" i="5"/>
  <c r="V904" i="5"/>
  <c r="V911" i="5"/>
  <c r="S1174"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567" i="5"/>
  <c r="S567" i="5"/>
  <c r="AB572" i="5"/>
  <c r="T607" i="5"/>
  <c r="T618" i="5"/>
  <c r="S618" i="5"/>
  <c r="T633" i="5"/>
  <c r="T719" i="5"/>
  <c r="V767" i="5"/>
  <c r="V816" i="5"/>
  <c r="V819" i="5"/>
  <c r="R819" i="5" s="1"/>
  <c r="T847" i="5"/>
  <c r="V883" i="5"/>
  <c r="J883" i="5" s="1"/>
  <c r="J916" i="5"/>
  <c r="V928" i="5"/>
  <c r="AB937" i="5"/>
  <c r="S937" i="5"/>
  <c r="G1144" i="5"/>
  <c r="V1168" i="5"/>
  <c r="G1168" i="5" s="1"/>
  <c r="T1234" i="5"/>
  <c r="S1234" i="5"/>
  <c r="E1267" i="5"/>
  <c r="X1267" i="5" s="1"/>
  <c r="H1271" i="5"/>
  <c r="J1271" i="5"/>
  <c r="E1271" i="5"/>
  <c r="X1271" i="5" s="1"/>
  <c r="R1271" i="5"/>
  <c r="I1271" i="5"/>
  <c r="F1271" i="5"/>
  <c r="V1359" i="5"/>
  <c r="V244" i="5"/>
  <c r="V256" i="5"/>
  <c r="V264" i="5"/>
  <c r="AB368" i="5"/>
  <c r="G372" i="5"/>
  <c r="V492" i="5"/>
  <c r="I492" i="5" s="1"/>
  <c r="V500" i="5"/>
  <c r="G500" i="5" s="1"/>
  <c r="V528" i="5"/>
  <c r="V532" i="5"/>
  <c r="S566" i="5"/>
  <c r="AB585" i="5"/>
  <c r="T613" i="5"/>
  <c r="S688" i="5"/>
  <c r="S733" i="5"/>
  <c r="S742" i="5"/>
  <c r="T765" i="5"/>
  <c r="V776" i="5"/>
  <c r="V796" i="5"/>
  <c r="V812" i="5"/>
  <c r="V828" i="5"/>
  <c r="G828" i="5" s="1"/>
  <c r="V848" i="5"/>
  <c r="V856" i="5"/>
  <c r="G856" i="5" s="1"/>
  <c r="S863" i="5"/>
  <c r="V895" i="5"/>
  <c r="T899" i="5"/>
  <c r="S899" i="5"/>
  <c r="T911" i="5"/>
  <c r="S911" i="5"/>
  <c r="V919" i="5"/>
  <c r="H919" i="5" s="1"/>
  <c r="H940" i="5"/>
  <c r="I940" i="5"/>
  <c r="R940" i="5"/>
  <c r="V948" i="5"/>
  <c r="V955" i="5"/>
  <c r="J955" i="5" s="1"/>
  <c r="G968" i="5"/>
  <c r="H1084" i="5"/>
  <c r="R1084" i="5"/>
  <c r="J1084" i="5"/>
  <c r="F1084" i="5"/>
  <c r="H1092" i="5"/>
  <c r="G1092" i="5"/>
  <c r="R1092" i="5"/>
  <c r="F1092"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T1322" i="5"/>
  <c r="S1322"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AB769" i="5"/>
  <c r="V791" i="5"/>
  <c r="V800" i="5"/>
  <c r="G800" i="5" s="1"/>
  <c r="S831" i="5"/>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AB1456" i="5"/>
  <c r="T1533" i="5"/>
  <c r="S1533" i="5"/>
  <c r="S1595" i="5"/>
  <c r="T1597" i="5"/>
  <c r="S1597" i="5"/>
  <c r="G1648" i="5"/>
  <c r="F1648" i="5"/>
  <c r="J1648" i="5"/>
  <c r="V1408" i="5"/>
  <c r="AB1436"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S1601" i="5"/>
  <c r="AB1724"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F1556" i="5"/>
  <c r="G1588" i="5"/>
  <c r="F1588" i="5"/>
  <c r="G1620" i="5"/>
  <c r="F1620" i="5"/>
  <c r="G1652" i="5"/>
  <c r="F1652"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AB1672" i="5"/>
  <c r="AB1704"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S2329" i="5"/>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c r="D17" i="6"/>
  <c r="V2460" i="5"/>
  <c r="V2472" i="5"/>
  <c r="G2364" i="5"/>
  <c r="G2368" i="5"/>
  <c r="T2392" i="5"/>
  <c r="T2394" i="5"/>
  <c r="G2435" i="5"/>
  <c r="S2339" i="5"/>
  <c r="S2355" i="5"/>
  <c r="S2387" i="5"/>
  <c r="V2492" i="5"/>
  <c r="G2492" i="5" s="1"/>
  <c r="T2496" i="5"/>
  <c r="T2473" i="5"/>
  <c r="I2459" i="5"/>
  <c r="R32" i="5"/>
  <c r="H32" i="5"/>
  <c r="I32" i="5"/>
  <c r="R92" i="5"/>
  <c r="H92" i="5"/>
  <c r="I124" i="5"/>
  <c r="I156" i="5"/>
  <c r="E156" i="5"/>
  <c r="X156" i="5" s="1"/>
  <c r="I315" i="5"/>
  <c r="F367" i="5"/>
  <c r="H367" i="5"/>
  <c r="I219" i="5"/>
  <c r="E219" i="5"/>
  <c r="X219" i="5" s="1"/>
  <c r="J219" i="5"/>
  <c r="F219" i="5"/>
  <c r="R283" i="5"/>
  <c r="J283" i="5"/>
  <c r="E283" i="5"/>
  <c r="X283" i="5" s="1"/>
  <c r="F283" i="5"/>
  <c r="H283" i="5"/>
  <c r="I283" i="5"/>
  <c r="H403" i="5"/>
  <c r="I479" i="5"/>
  <c r="F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24" i="5"/>
  <c r="S824" i="5"/>
  <c r="AB840" i="5"/>
  <c r="S840" i="5"/>
  <c r="S904" i="5"/>
  <c r="S1018" i="5"/>
  <c r="T1018" i="5"/>
  <c r="S1050" i="5"/>
  <c r="T1050" i="5"/>
  <c r="S1066" i="5"/>
  <c r="T1066" i="5"/>
  <c r="S1082" i="5"/>
  <c r="T1082" i="5"/>
  <c r="AB1088" i="5"/>
  <c r="S1088" i="5"/>
  <c r="T1088" i="5"/>
  <c r="AB1152" i="5"/>
  <c r="S1152" i="5"/>
  <c r="T1152" i="5"/>
  <c r="V1455" i="5"/>
  <c r="G1455" i="5" s="1"/>
  <c r="V239" i="5"/>
  <c r="V319" i="5"/>
  <c r="V339" i="5"/>
  <c r="G339" i="5" s="1"/>
  <c r="V411" i="5"/>
  <c r="G411" i="5" s="1"/>
  <c r="V415" i="5"/>
  <c r="V419" i="5"/>
  <c r="G419" i="5" s="1"/>
  <c r="V431" i="5"/>
  <c r="G431" i="5" s="1"/>
  <c r="V439" i="5"/>
  <c r="V455" i="5"/>
  <c r="V467" i="5"/>
  <c r="T824" i="5"/>
  <c r="T840"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AB844" i="5"/>
  <c r="S844" i="5"/>
  <c r="V857" i="5"/>
  <c r="G857" i="5" s="1"/>
  <c r="AB860" i="5"/>
  <c r="S860" i="5"/>
  <c r="V873" i="5"/>
  <c r="S876" i="5"/>
  <c r="V889" i="5"/>
  <c r="S892" i="5"/>
  <c r="V905" i="5"/>
  <c r="G905" i="5" s="1"/>
  <c r="AB908" i="5"/>
  <c r="S908" i="5"/>
  <c r="V921" i="5"/>
  <c r="G921" i="5" s="1"/>
  <c r="AB924" i="5"/>
  <c r="S924" i="5"/>
  <c r="V937" i="5"/>
  <c r="V953" i="5"/>
  <c r="S956" i="5"/>
  <c r="AB1012" i="5"/>
  <c r="S1012" i="5"/>
  <c r="AB1044" i="5"/>
  <c r="S1044" i="5"/>
  <c r="T1044" i="5"/>
  <c r="S1060" i="5"/>
  <c r="AB1076" i="5"/>
  <c r="S1076" i="5"/>
  <c r="T1076" i="5"/>
  <c r="S1084" i="5"/>
  <c r="T1084" i="5"/>
  <c r="AB1100" i="5"/>
  <c r="S1100" i="5"/>
  <c r="T1100" i="5"/>
  <c r="AB1116" i="5"/>
  <c r="S1116" i="5"/>
  <c r="T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E224" i="5"/>
  <c r="X224" i="5" s="1"/>
  <c r="I224" i="5"/>
  <c r="T239" i="5"/>
  <c r="S290" i="5"/>
  <c r="S306" i="5"/>
  <c r="S318" i="5"/>
  <c r="S326" i="5"/>
  <c r="S330" i="5"/>
  <c r="S338" i="5"/>
  <c r="S422" i="5"/>
  <c r="S434" i="5"/>
  <c r="S458" i="5"/>
  <c r="S466" i="5"/>
  <c r="S514" i="5"/>
  <c r="S526" i="5"/>
  <c r="S534" i="5"/>
  <c r="AB635" i="5"/>
  <c r="T812" i="5"/>
  <c r="T844" i="5"/>
  <c r="T860" i="5"/>
  <c r="T892" i="5"/>
  <c r="T924" i="5"/>
  <c r="I296" i="5"/>
  <c r="I392" i="5"/>
  <c r="E400" i="5"/>
  <c r="X400" i="5" s="1"/>
  <c r="E492" i="5"/>
  <c r="X492" i="5" s="1"/>
  <c r="I580" i="5"/>
  <c r="G623" i="5"/>
  <c r="S768" i="5"/>
  <c r="S800" i="5"/>
  <c r="S832" i="5"/>
  <c r="AB864" i="5"/>
  <c r="S864" i="5"/>
  <c r="AB880" i="5"/>
  <c r="S880" i="5"/>
  <c r="S896" i="5"/>
  <c r="AB944" i="5"/>
  <c r="S944" i="5"/>
  <c r="AB960" i="5"/>
  <c r="S966" i="5"/>
  <c r="S1014" i="5"/>
  <c r="T1014" i="5"/>
  <c r="T1030" i="5"/>
  <c r="AB1038" i="5"/>
  <c r="S1046" i="5"/>
  <c r="T1046" i="5"/>
  <c r="T1062" i="5"/>
  <c r="S1078" i="5"/>
  <c r="T1078" i="5"/>
  <c r="T1144" i="5"/>
  <c r="T1160" i="5"/>
  <c r="AB24" i="5"/>
  <c r="AB28" i="5"/>
  <c r="AB36" i="5"/>
  <c r="AB40" i="5"/>
  <c r="AB44" i="5"/>
  <c r="AB60" i="5"/>
  <c r="AB80" i="5"/>
  <c r="AB112" i="5"/>
  <c r="AB124" i="5"/>
  <c r="AB140" i="5"/>
  <c r="AB152" i="5"/>
  <c r="AB156" i="5"/>
  <c r="AB208"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J640" i="5"/>
  <c r="V643" i="5"/>
  <c r="G643" i="5" s="1"/>
  <c r="V651" i="5"/>
  <c r="G651" i="5" s="1"/>
  <c r="V659" i="5"/>
  <c r="T800" i="5"/>
  <c r="T832" i="5"/>
  <c r="T848" i="5"/>
  <c r="T864" i="5"/>
  <c r="T880" i="5"/>
  <c r="T896" i="5"/>
  <c r="T944" i="5"/>
  <c r="G283" i="5"/>
  <c r="G367" i="5"/>
  <c r="G403" i="5"/>
  <c r="G571" i="5"/>
  <c r="G604" i="5"/>
  <c r="G612" i="5"/>
  <c r="G660" i="5"/>
  <c r="R671" i="5"/>
  <c r="H671" i="5"/>
  <c r="I671" i="5"/>
  <c r="E671" i="5"/>
  <c r="X671" i="5" s="1"/>
  <c r="R689" i="5"/>
  <c r="I703" i="5"/>
  <c r="E703" i="5"/>
  <c r="X703" i="5" s="1"/>
  <c r="H711" i="5"/>
  <c r="E711" i="5"/>
  <c r="X711" i="5" s="1"/>
  <c r="R715" i="5"/>
  <c r="H715" i="5"/>
  <c r="I715" i="5"/>
  <c r="E715" i="5"/>
  <c r="X715" i="5" s="1"/>
  <c r="R721" i="5"/>
  <c r="H721" i="5"/>
  <c r="I721" i="5"/>
  <c r="E721" i="5"/>
  <c r="X721" i="5" s="1"/>
  <c r="I723" i="5"/>
  <c r="R727" i="5"/>
  <c r="H727" i="5"/>
  <c r="I727" i="5"/>
  <c r="E727" i="5"/>
  <c r="X727" i="5" s="1"/>
  <c r="R729" i="5"/>
  <c r="H729" i="5"/>
  <c r="I729" i="5"/>
  <c r="E729" i="5"/>
  <c r="X729" i="5" s="1"/>
  <c r="R735" i="5"/>
  <c r="H735" i="5"/>
  <c r="R745" i="5"/>
  <c r="R747" i="5"/>
  <c r="R763" i="5"/>
  <c r="H763" i="5"/>
  <c r="V769" i="5"/>
  <c r="G769" i="5" s="1"/>
  <c r="V785" i="5"/>
  <c r="G785" i="5" s="1"/>
  <c r="V801" i="5"/>
  <c r="S804" i="5"/>
  <c r="V817" i="5"/>
  <c r="G817" i="5" s="1"/>
  <c r="AB820" i="5"/>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S976" i="5"/>
  <c r="T976" i="5"/>
  <c r="T1000" i="5"/>
  <c r="AB1008" i="5"/>
  <c r="S1008" i="5"/>
  <c r="T1008" i="5"/>
  <c r="S1024" i="5"/>
  <c r="S1032" i="5"/>
  <c r="AB1040" i="5"/>
  <c r="S1040" i="5"/>
  <c r="T1040" i="5"/>
  <c r="AB1072" i="5"/>
  <c r="S1072" i="5"/>
  <c r="T1072" i="5"/>
  <c r="AB1124" i="5"/>
  <c r="S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88" i="5"/>
  <c r="G92" i="5"/>
  <c r="G100" i="5"/>
  <c r="G124" i="5"/>
  <c r="G156" i="5"/>
  <c r="G220" i="5"/>
  <c r="G224" i="5"/>
  <c r="S252" i="5"/>
  <c r="S256" i="5"/>
  <c r="AB259" i="5"/>
  <c r="S264" i="5"/>
  <c r="AB267" i="5"/>
  <c r="AB287" i="5"/>
  <c r="S300" i="5"/>
  <c r="AB303" i="5"/>
  <c r="S312" i="5"/>
  <c r="AB319" i="5"/>
  <c r="AB331" i="5"/>
  <c r="S344" i="5"/>
  <c r="S352" i="5"/>
  <c r="AB355" i="5"/>
  <c r="S368" i="5"/>
  <c r="S376" i="5"/>
  <c r="AB379" i="5"/>
  <c r="AB383" i="5"/>
  <c r="S396" i="5"/>
  <c r="AB407" i="5"/>
  <c r="AB435" i="5"/>
  <c r="AB447" i="5"/>
  <c r="S460" i="5"/>
  <c r="AB467" i="5"/>
  <c r="S468" i="5"/>
  <c r="S480" i="5"/>
  <c r="S484" i="5"/>
  <c r="AB487" i="5"/>
  <c r="AB495" i="5"/>
  <c r="AB499" i="5"/>
  <c r="S508" i="5"/>
  <c r="AB515" i="5"/>
  <c r="S520" i="5"/>
  <c r="AB527" i="5"/>
  <c r="S528" i="5"/>
  <c r="AB535" i="5"/>
  <c r="AB547" i="5"/>
  <c r="S548" i="5"/>
  <c r="AB551" i="5"/>
  <c r="J559" i="5"/>
  <c r="V561" i="5"/>
  <c r="E561" i="5" s="1"/>
  <c r="X561" i="5" s="1"/>
  <c r="AB567" i="5"/>
  <c r="V569" i="5"/>
  <c r="F569" i="5" s="1"/>
  <c r="AB575" i="5"/>
  <c r="H576" i="5"/>
  <c r="V577" i="5"/>
  <c r="AB583" i="5"/>
  <c r="V585" i="5"/>
  <c r="G585" i="5" s="1"/>
  <c r="V593" i="5"/>
  <c r="H600" i="5"/>
  <c r="V601" i="5"/>
  <c r="G601" i="5" s="1"/>
  <c r="AB607" i="5"/>
  <c r="V609" i="5"/>
  <c r="V617" i="5"/>
  <c r="J623" i="5"/>
  <c r="AB624" i="5"/>
  <c r="V625" i="5"/>
  <c r="G625" i="5" s="1"/>
  <c r="AB631" i="5"/>
  <c r="V633" i="5"/>
  <c r="R633" i="5" s="1"/>
  <c r="V641" i="5"/>
  <c r="J641" i="5" s="1"/>
  <c r="V649" i="5"/>
  <c r="AB655" i="5"/>
  <c r="T772" i="5"/>
  <c r="T804" i="5"/>
  <c r="T820" i="5"/>
  <c r="T868" i="5"/>
  <c r="T932" i="5"/>
  <c r="J1099"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J1375"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69" i="5"/>
  <c r="T773" i="5"/>
  <c r="T777" i="5"/>
  <c r="E779" i="5"/>
  <c r="X779" i="5" s="1"/>
  <c r="E783" i="5"/>
  <c r="X783" i="5" s="1"/>
  <c r="E787" i="5"/>
  <c r="X787" i="5" s="1"/>
  <c r="T793" i="5"/>
  <c r="T797" i="5"/>
  <c r="T801" i="5"/>
  <c r="AB807" i="5"/>
  <c r="T813" i="5"/>
  <c r="E819" i="5"/>
  <c r="X819" i="5" s="1"/>
  <c r="AB819" i="5"/>
  <c r="AB827" i="5"/>
  <c r="AB831" i="5"/>
  <c r="T833" i="5"/>
  <c r="T837" i="5"/>
  <c r="E839" i="5"/>
  <c r="X839" i="5" s="1"/>
  <c r="AB847" i="5"/>
  <c r="AB851" i="5"/>
  <c r="T853" i="5"/>
  <c r="E859" i="5"/>
  <c r="X859" i="5" s="1"/>
  <c r="AB867" i="5"/>
  <c r="AB871" i="5"/>
  <c r="T873" i="5"/>
  <c r="AB879" i="5"/>
  <c r="AB883" i="5"/>
  <c r="T885" i="5"/>
  <c r="E891" i="5"/>
  <c r="X891" i="5" s="1"/>
  <c r="AB899" i="5"/>
  <c r="T901" i="5"/>
  <c r="E903" i="5"/>
  <c r="X903" i="5" s="1"/>
  <c r="T905" i="5"/>
  <c r="E907" i="5"/>
  <c r="X907" i="5" s="1"/>
  <c r="T909" i="5"/>
  <c r="AB911" i="5"/>
  <c r="AB915" i="5"/>
  <c r="T917" i="5"/>
  <c r="T921" i="5"/>
  <c r="AB923" i="5"/>
  <c r="T925" i="5"/>
  <c r="T929" i="5"/>
  <c r="E931" i="5"/>
  <c r="X931" i="5" s="1"/>
  <c r="AB935" i="5"/>
  <c r="T937" i="5"/>
  <c r="AB943" i="5"/>
  <c r="AB947" i="5"/>
  <c r="AB951" i="5"/>
  <c r="T953" i="5"/>
  <c r="T957" i="5"/>
  <c r="J779" i="5"/>
  <c r="F779" i="5"/>
  <c r="J783" i="5"/>
  <c r="F783" i="5"/>
  <c r="S786" i="5"/>
  <c r="J787" i="5"/>
  <c r="S790" i="5"/>
  <c r="S806" i="5"/>
  <c r="S810" i="5"/>
  <c r="F811" i="5"/>
  <c r="J819" i="5"/>
  <c r="F819" i="5"/>
  <c r="S826" i="5"/>
  <c r="S834" i="5"/>
  <c r="J839" i="5"/>
  <c r="F839" i="5"/>
  <c r="S854" i="5"/>
  <c r="S858" i="5"/>
  <c r="F859" i="5"/>
  <c r="S866" i="5"/>
  <c r="F867" i="5"/>
  <c r="S874" i="5"/>
  <c r="S882" i="5"/>
  <c r="S886" i="5"/>
  <c r="S898" i="5"/>
  <c r="S902" i="5"/>
  <c r="F903" i="5"/>
  <c r="F907" i="5"/>
  <c r="S910" i="5"/>
  <c r="J931" i="5"/>
  <c r="F931" i="5"/>
  <c r="S934" i="5"/>
  <c r="S938" i="5"/>
  <c r="S946" i="5"/>
  <c r="S950" i="5"/>
  <c r="S954" i="5"/>
  <c r="S958"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1479" i="5"/>
  <c r="AB681" i="5"/>
  <c r="AB683" i="5"/>
  <c r="AB689" i="5"/>
  <c r="AB695" i="5"/>
  <c r="AB707" i="5"/>
  <c r="AB713" i="5"/>
  <c r="AB719" i="5"/>
  <c r="AB723" i="5"/>
  <c r="AB729" i="5"/>
  <c r="AB739" i="5"/>
  <c r="AB745" i="5"/>
  <c r="AB747" i="5"/>
  <c r="AB751" i="5"/>
  <c r="AB753" i="5"/>
  <c r="AB759" i="5"/>
  <c r="I779" i="5"/>
  <c r="I783" i="5"/>
  <c r="T786" i="5"/>
  <c r="T790" i="5"/>
  <c r="T806" i="5"/>
  <c r="T810" i="5"/>
  <c r="I811" i="5"/>
  <c r="I819" i="5"/>
  <c r="T826" i="5"/>
  <c r="T834" i="5"/>
  <c r="T838" i="5"/>
  <c r="I839" i="5"/>
  <c r="T846" i="5"/>
  <c r="T854" i="5"/>
  <c r="T858" i="5"/>
  <c r="I859" i="5"/>
  <c r="T866" i="5"/>
  <c r="T870" i="5"/>
  <c r="I871" i="5"/>
  <c r="T874" i="5"/>
  <c r="T878" i="5"/>
  <c r="T882" i="5"/>
  <c r="T886" i="5"/>
  <c r="T898" i="5"/>
  <c r="T902" i="5"/>
  <c r="I903" i="5"/>
  <c r="T910" i="5"/>
  <c r="T914" i="5"/>
  <c r="I931" i="5"/>
  <c r="T934" i="5"/>
  <c r="T938" i="5"/>
  <c r="T942"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3"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c r="F43" i="6"/>
  <c r="H43" i="6"/>
  <c r="D43" i="6"/>
  <c r="F28" i="6"/>
  <c r="H28" i="6"/>
  <c r="D28" i="6"/>
  <c r="F33" i="6"/>
  <c r="H33" i="6"/>
  <c r="D33" i="6"/>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c r="D18" i="6"/>
  <c r="F32" i="6"/>
  <c r="H32" i="6"/>
  <c r="F2095" i="5"/>
  <c r="J2095" i="5"/>
  <c r="F843" i="5"/>
  <c r="I2095" i="5"/>
  <c r="F2223" i="5"/>
  <c r="J2223" i="5"/>
  <c r="J2239" i="5"/>
  <c r="H2095" i="5"/>
  <c r="E1500" i="5"/>
  <c r="X1500" i="5" s="1"/>
  <c r="E2492" i="5"/>
  <c r="X2492" i="5" s="1"/>
  <c r="I2492" i="5"/>
  <c r="I847"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H42" i="6"/>
  <c r="D42" i="6"/>
  <c r="F37" i="6"/>
  <c r="H37" i="6"/>
  <c r="D37" i="6"/>
  <c r="F27" i="6"/>
  <c r="H27" i="6"/>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D38" i="6"/>
  <c r="F1435" i="5"/>
  <c r="H549" i="5"/>
  <c r="I549" i="5"/>
  <c r="J513" i="5"/>
  <c r="I441" i="5"/>
  <c r="J441" i="5"/>
  <c r="E441" i="5"/>
  <c r="X441" i="5" s="1"/>
  <c r="G441" i="5"/>
  <c r="H361" i="5"/>
  <c r="J361" i="5"/>
  <c r="E361" i="5"/>
  <c r="X361" i="5" s="1"/>
  <c r="D32" i="6"/>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D23" i="6"/>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D27" i="6"/>
  <c r="D21"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s="1"/>
  <c r="D6" i="6" s="1"/>
  <c r="G15" i="6"/>
  <c r="H15"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L59" i="6" l="1"/>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I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I15" i="5"/>
  <c r="E15" i="5"/>
  <c r="X15" i="5" s="1"/>
  <c r="J15" i="5"/>
  <c r="F15" i="5"/>
  <c r="R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J1778" i="5"/>
  <c r="F1778" i="5"/>
  <c r="E1778" i="5"/>
  <c r="X1778" i="5" s="1"/>
  <c r="I1778" i="5"/>
  <c r="R1138" i="5"/>
  <c r="E1138" i="5"/>
  <c r="X1138" i="5" s="1"/>
  <c r="I1138" i="5"/>
  <c r="V2493" i="5"/>
  <c r="G2493" i="5" s="1"/>
  <c r="AB2493" i="5"/>
  <c r="V2477" i="5"/>
  <c r="H2477" i="5" s="1"/>
  <c r="AB2477" i="5"/>
  <c r="V2469" i="5"/>
  <c r="AB2469" i="5"/>
  <c r="V2461" i="5"/>
  <c r="G2461" i="5" s="1"/>
  <c r="V2453" i="5"/>
  <c r="G2453" i="5" s="1"/>
  <c r="V2445" i="5"/>
  <c r="G2445" i="5" s="1"/>
  <c r="AB2445" i="5"/>
  <c r="V2437" i="5"/>
  <c r="G2437" i="5" s="1"/>
  <c r="AB2437" i="5"/>
  <c r="V2421" i="5"/>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AB2117" i="5"/>
  <c r="V2109" i="5"/>
  <c r="J2109" i="5" s="1"/>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E1797" i="5" s="1"/>
  <c r="X1797" i="5" s="1"/>
  <c r="AB1797" i="5"/>
  <c r="V1789" i="5"/>
  <c r="AB1789" i="5"/>
  <c r="V1765" i="5"/>
  <c r="AB1765" i="5"/>
  <c r="V1749" i="5"/>
  <c r="AB1749" i="5"/>
  <c r="V1725" i="5"/>
  <c r="H1725" i="5" s="1"/>
  <c r="AB1725" i="5"/>
  <c r="V1717" i="5"/>
  <c r="AB1717" i="5"/>
  <c r="V1709" i="5"/>
  <c r="AB1709" i="5"/>
  <c r="AB1701" i="5"/>
  <c r="V1701" i="5"/>
  <c r="V1693" i="5"/>
  <c r="AB1693" i="5"/>
  <c r="AB1685" i="5"/>
  <c r="V1685" i="5"/>
  <c r="V1669" i="5"/>
  <c r="AB1669" i="5"/>
  <c r="AB1653" i="5"/>
  <c r="V1653" i="5"/>
  <c r="J1653" i="5" s="1"/>
  <c r="AB1637" i="5"/>
  <c r="V1637" i="5"/>
  <c r="I1637" i="5" s="1"/>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I2469" i="5"/>
  <c r="R2469" i="5"/>
  <c r="J2469" i="5"/>
  <c r="G2469" i="5"/>
  <c r="H2469" i="5"/>
  <c r="R2429" i="5"/>
  <c r="F2429" i="5"/>
  <c r="H2429" i="5"/>
  <c r="G2429" i="5"/>
  <c r="J2429" i="5"/>
  <c r="I2397" i="5"/>
  <c r="E2397" i="5"/>
  <c r="X2397" i="5" s="1"/>
  <c r="J2397" i="5"/>
  <c r="F2397" i="5"/>
  <c r="F2269" i="5"/>
  <c r="R2269" i="5"/>
  <c r="J2261" i="5"/>
  <c r="H2253" i="5"/>
  <c r="R2253" i="5"/>
  <c r="J2253" i="5"/>
  <c r="F2253" i="5"/>
  <c r="H2245" i="5"/>
  <c r="J2245"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E2109" i="5"/>
  <c r="X2109" i="5" s="1"/>
  <c r="E2101" i="5"/>
  <c r="X2101" i="5" s="1"/>
  <c r="J2101" i="5"/>
  <c r="G2101" i="5"/>
  <c r="F2101" i="5"/>
  <c r="I2093" i="5"/>
  <c r="J2093" i="5"/>
  <c r="F2093" i="5"/>
  <c r="E2093" i="5"/>
  <c r="X2093" i="5" s="1"/>
  <c r="I1997" i="5"/>
  <c r="R1901" i="5"/>
  <c r="G1861" i="5"/>
  <c r="J1861" i="5"/>
  <c r="I1837" i="5"/>
  <c r="E1837" i="5"/>
  <c r="X1837" i="5" s="1"/>
  <c r="J1837" i="5"/>
  <c r="E1829" i="5"/>
  <c r="X1829" i="5" s="1"/>
  <c r="J1829" i="5"/>
  <c r="H1821" i="5"/>
  <c r="E1821" i="5"/>
  <c r="X1821" i="5" s="1"/>
  <c r="J1821" i="5"/>
  <c r="E1789" i="5"/>
  <c r="X1789" i="5" s="1"/>
  <c r="J1789" i="5"/>
  <c r="R1749" i="5"/>
  <c r="G1749" i="5"/>
  <c r="E1749" i="5"/>
  <c r="X1749" i="5" s="1"/>
  <c r="J1749"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G1333" i="5"/>
  <c r="F1333" i="5"/>
  <c r="F1325" i="5"/>
  <c r="G1325" i="5"/>
  <c r="R1325" i="5"/>
  <c r="G1309" i="5"/>
  <c r="G1285" i="5"/>
  <c r="F1261" i="5"/>
  <c r="G1253" i="5"/>
  <c r="F1253" i="5"/>
  <c r="I1253" i="5"/>
  <c r="R1253" i="5"/>
  <c r="E1189" i="5"/>
  <c r="X1189" i="5" s="1"/>
  <c r="R1189" i="5"/>
  <c r="G1189" i="5"/>
  <c r="F1189" i="5"/>
  <c r="F1165" i="5"/>
  <c r="J1157" i="5"/>
  <c r="F1157" i="5"/>
  <c r="R1157" i="5"/>
  <c r="H1157" i="5"/>
  <c r="G1157" i="5"/>
  <c r="H1133" i="5"/>
  <c r="G1133" i="5"/>
  <c r="R1133" i="5"/>
  <c r="H1117" i="5"/>
  <c r="R1117" i="5"/>
  <c r="F1101" i="5"/>
  <c r="R1101" i="5"/>
  <c r="H1101" i="5"/>
  <c r="G1101" i="5"/>
  <c r="J1101" i="5"/>
  <c r="F1085" i="5"/>
  <c r="R1085" i="5"/>
  <c r="H1085" i="5"/>
  <c r="J1085" i="5"/>
  <c r="G1085" i="5"/>
  <c r="I757" i="5"/>
  <c r="E741" i="5"/>
  <c r="X741" i="5" s="1"/>
  <c r="G725" i="5"/>
  <c r="H717" i="5"/>
  <c r="I709"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G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G1709" i="5"/>
  <c r="H1709" i="5"/>
  <c r="R1709" i="5"/>
  <c r="F1421" i="5"/>
  <c r="I1421" i="5"/>
  <c r="I1381" i="5"/>
  <c r="F1381" i="5"/>
  <c r="V1357" i="5"/>
  <c r="G1357" i="5" s="1"/>
  <c r="H1333" i="5"/>
  <c r="I1333" i="5"/>
  <c r="E1333" i="5"/>
  <c r="X1333" i="5" s="1"/>
  <c r="H1325" i="5"/>
  <c r="I1325" i="5"/>
  <c r="J1317" i="5"/>
  <c r="E1277" i="5"/>
  <c r="X1277" i="5" s="1"/>
  <c r="H1261" i="5"/>
  <c r="E1261" i="5"/>
  <c r="X1261" i="5" s="1"/>
  <c r="I1261" i="5"/>
  <c r="J1261" i="5"/>
  <c r="J1253" i="5"/>
  <c r="E1253" i="5"/>
  <c r="X1253" i="5" s="1"/>
  <c r="H1253" i="5"/>
  <c r="J1237" i="5"/>
  <c r="J1189" i="5"/>
  <c r="H1189" i="5"/>
  <c r="I1189" i="5"/>
  <c r="H1181" i="5"/>
  <c r="E1109" i="5"/>
  <c r="X1109" i="5" s="1"/>
  <c r="I1109" i="5"/>
  <c r="E1101" i="5"/>
  <c r="X1101" i="5" s="1"/>
  <c r="I1101" i="5"/>
  <c r="G933" i="5"/>
  <c r="AB853" i="5"/>
  <c r="V853" i="5"/>
  <c r="G837" i="5"/>
  <c r="AB789" i="5"/>
  <c r="V789" i="5"/>
  <c r="V765" i="5"/>
  <c r="AB765"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146" i="5"/>
  <c r="H2042" i="5"/>
  <c r="J1828" i="5"/>
  <c r="S1834" i="5"/>
  <c r="S1818" i="5"/>
  <c r="R1839" i="5"/>
  <c r="T930" i="5"/>
  <c r="S1790" i="5"/>
  <c r="I1739" i="5"/>
  <c r="AB998" i="5"/>
  <c r="I104" i="5"/>
  <c r="AB1796" i="5"/>
  <c r="H1805"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F2146" i="5"/>
  <c r="J1944" i="5"/>
  <c r="AB1955" i="5"/>
  <c r="T941" i="5"/>
  <c r="S260" i="5"/>
  <c r="AB974" i="5"/>
  <c r="H2105" i="5"/>
  <c r="H2076" i="5"/>
  <c r="T1367" i="5"/>
  <c r="I1125" i="5"/>
  <c r="S2377" i="5"/>
  <c r="H552" i="5"/>
  <c r="F552" i="5"/>
  <c r="T2082" i="5"/>
  <c r="R2146" i="5"/>
  <c r="H1944" i="5"/>
  <c r="F1784" i="5"/>
  <c r="G104" i="5"/>
  <c r="AB78" i="5"/>
  <c r="G1821" i="5"/>
  <c r="AB897" i="5"/>
  <c r="I1093" i="5"/>
  <c r="S654" i="5"/>
  <c r="T654" i="5"/>
  <c r="AB654" i="5"/>
  <c r="T659" i="5"/>
  <c r="S659" i="5"/>
  <c r="S692" i="5"/>
  <c r="AB692" i="5"/>
  <c r="T356" i="5"/>
  <c r="AB356" i="5"/>
  <c r="F687" i="5"/>
  <c r="J687" i="5"/>
  <c r="G1335" i="5"/>
  <c r="I1335" i="5"/>
  <c r="S1346" i="5"/>
  <c r="T1346" i="5"/>
  <c r="AB1557" i="5"/>
  <c r="T2033" i="5"/>
  <c r="S2033"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I2421" i="5"/>
  <c r="E2421" i="5"/>
  <c r="X2421" i="5" s="1"/>
  <c r="J2421" i="5"/>
  <c r="H2421" i="5"/>
  <c r="J2413" i="5"/>
  <c r="R2413" i="5"/>
  <c r="F2413" i="5"/>
  <c r="E2413" i="5"/>
  <c r="X2413" i="5" s="1"/>
  <c r="R2389" i="5"/>
  <c r="G2389" i="5"/>
  <c r="I2389" i="5"/>
  <c r="H2389" i="5"/>
  <c r="I2269" i="5"/>
  <c r="G2269" i="5"/>
  <c r="E2269" i="5"/>
  <c r="X2269" i="5" s="1"/>
  <c r="H2269" i="5"/>
  <c r="J2269" i="5"/>
  <c r="R2173" i="5"/>
  <c r="E2173" i="5"/>
  <c r="X2173" i="5" s="1"/>
  <c r="F2173" i="5"/>
  <c r="G2173" i="5"/>
  <c r="H2173"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C6" i="6" l="1"/>
  <c r="G55" i="4"/>
  <c r="G37" i="4"/>
  <c r="G62" i="4"/>
  <c r="C10" i="6"/>
  <c r="C5" i="6"/>
  <c r="C15" i="6"/>
  <c r="C13" i="6"/>
  <c r="C11" i="6"/>
  <c r="C9" i="6"/>
  <c r="C8" i="6"/>
  <c r="C7"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<sst xmlns="http://schemas.openxmlformats.org/spreadsheetml/2006/main" count="17138" uniqueCount="14073">
  <si>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</si>
  <si>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</si>
  <si>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</si>
  <si>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</si>
  <si>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</si>
  <si>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</si>
  <si>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</si>
  <si>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</si>
  <si>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</si>
  <si>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</si>
  <si>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</si>
  <si>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</si>
  <si>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</si>
  <si>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</si>
  <si>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</si>
  <si>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</si>
  <si>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</si>
  <si>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</si>
  <si>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</si>
  <si>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</si>
  <si>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</si>
  <si>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</si>
  <si>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</si>
  <si>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</si>
  <si>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</si>
  <si>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</si>
  <si>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</si>
  <si>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</si>
  <si>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</si>
  <si>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</si>
  <si>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</si>
  <si>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</si>
  <si>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</si>
  <si>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</si>
  <si>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</si>
  <si>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</si>
  <si>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</si>
  <si>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</si>
  <si>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</si>
  <si>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</si>
  <si>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</si>
  <si>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</si>
  <si>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</si>
  <si>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</si>
  <si>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</si>
  <si>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</si>
  <si>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</si>
  <si>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</si>
  <si>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</si>
  <si>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</si>
  <si>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</si>
  <si>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</si>
  <si>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</si>
  <si>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</si>
  <si>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</si>
  <si>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</si>
  <si>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</si>
  <si>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</si>
  <si>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</si>
  <si>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</si>
  <si>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</si>
  <si>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</si>
  <si>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</si>
  <si>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</si>
  <si>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</si>
  <si>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</si>
  <si>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</si>
  <si>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</si>
  <si>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</si>
  <si>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</si>
  <si>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</si>
  <si>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</si>
  <si>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</si>
  <si>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</si>
  <si>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</si>
  <si>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</si>
  <si>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</si>
  <si>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</si>
  <si>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</si>
  <si>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</si>
  <si>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</si>
  <si>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</si>
  <si>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</si>
  <si>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</si>
  <si>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</si>
  <si>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</si>
  <si>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</si>
  <si>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</si>
  <si>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</si>
  <si>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</si>
  <si>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</si>
  <si>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</si>
  <si>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</si>
  <si>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</si>
  <si>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</si>
  <si>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</si>
  <si>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</si>
  <si>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</si>
  <si>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</si>
  <si>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</si>
  <si>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</si>
  <si>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</si>
  <si>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</si>
  <si>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</si>
  <si>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</si>
  <si>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</si>
  <si>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</si>
  <si>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</si>
  <si>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</si>
  <si>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</si>
  <si>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</si>
  <si>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</si>
  <si>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</si>
  <si>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</si>
  <si>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</si>
  <si>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</si>
  <si>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</si>
  <si>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</si>
  <si>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</si>
  <si>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</si>
  <si>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</si>
  <si>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</si>
  <si>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</si>
  <si>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</si>
  <si>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</si>
  <si>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</si>
  <si>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</si>
  <si>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</si>
  <si>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</si>
  <si>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</si>
  <si>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</si>
  <si>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</si>
  <si>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</si>
  <si>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</si>
  <si>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</si>
  <si>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</si>
  <si>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</si>
  <si>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</si>
  <si>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</si>
  <si>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</si>
  <si>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</si>
  <si>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</si>
  <si>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</si>
  <si>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</si>
  <si>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</si>
  <si>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</si>
  <si>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</si>
  <si>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</si>
  <si>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</si>
  <si>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</si>
  <si>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</si>
  <si>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</si>
  <si>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</si>
  <si>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</si>
  <si>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</si>
  <si>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</si>
  <si>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</si>
  <si>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</si>
  <si>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</si>
  <si>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</si>
  <si>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</si>
  <si>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</si>
  <si>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</si>
  <si>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</si>
  <si>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</si>
  <si>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</si>
  <si>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</si>
  <si>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</si>
  <si>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</si>
  <si>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</si>
  <si>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</si>
  <si>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</si>
  <si>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</si>
  <si>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</si>
  <si>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</si>
  <si>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</si>
  <si>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</si>
  <si>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</si>
  <si>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</si>
  <si>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</si>
  <si>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</si>
  <si>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</si>
  <si>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</si>
  <si>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</si>
  <si>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</si>
  <si>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</si>
  <si>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</si>
  <si>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</si>
  <si>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</si>
  <si>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</si>
  <si>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</si>
  <si>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</si>
  <si>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</si>
  <si>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</si>
  <si>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</si>
  <si>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</si>
  <si>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</si>
  <si>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</si>
  <si>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</si>
  <si>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</si>
  <si>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</si>
  <si>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</si>
  <si>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</si>
  <si>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</si>
  <si>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</si>
  <si>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</si>
  <si>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</si>
  <si>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</si>
  <si>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</si>
  <si>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</si>
  <si>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</si>
  <si>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</si>
  <si>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</si>
  <si>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</si>
  <si>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</si>
  <si>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</si>
  <si>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</si>
  <si>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</si>
  <si>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</si>
  <si>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</si>
  <si>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</si>
  <si>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</si>
  <si>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</si>
  <si>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</si>
  <si>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</si>
  <si>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</si>
  <si>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</si>
  <si>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</si>
  <si>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</si>
  <si>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</si>
  <si>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</si>
  <si>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</si>
  <si>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</si>
  <si>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</si>
  <si>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</si>
  <si>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</si>
  <si>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</si>
  <si>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</si>
  <si>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</si>
  <si>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</si>
  <si>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</si>
  <si>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</si>
  <si>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</si>
  <si>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</si>
  <si>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</si>
  <si>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</si>
  <si>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</si>
  <si>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</si>
  <si>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</si>
  <si>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</si>
  <si>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</si>
  <si>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</si>
  <si>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</si>
  <si>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</si>
  <si>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</si>
  <si>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</si>
  <si>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</si>
  <si>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</si>
  <si>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</si>
  <si>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</si>
  <si>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</si>
  <si>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</si>
  <si>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</si>
  <si>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</si>
  <si>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</si>
  <si>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</si>
  <si>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</si>
  <si>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</si>
  <si>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</si>
  <si>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</si>
  <si>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</si>
  <si>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</si>
  <si>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</si>
  <si>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</si>
  <si>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</si>
  <si>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</si>
  <si>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</si>
  <si>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</si>
  <si>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</si>
  <si>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</si>
  <si>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</si>
  <si>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</si>
  <si>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</si>
  <si>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</si>
  <si>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</si>
  <si>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</si>
  <si>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</si>
  <si>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</si>
  <si>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</si>
  <si>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</si>
  <si>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</si>
  <si>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</si>
  <si>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</si>
  <si>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</si>
  <si>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</si>
  <si>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</si>
  <si>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</si>
  <si>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</si>
  <si>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</si>
  <si>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</si>
  <si>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</si>
  <si>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</si>
  <si>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</si>
  <si>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</si>
  <si>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</si>
  <si>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</si>
  <si>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</si>
  <si>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</si>
  <si>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</si>
  <si>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</si>
  <si>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</si>
  <si>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</si>
  <si>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</si>
  <si>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</si>
  <si>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</si>
  <si>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</si>
  <si>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</si>
  <si>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</si>
  <si>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</si>
  <si>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</si>
  <si>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</si>
  <si>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</si>
  <si>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</si>
  <si>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</si>
  <si>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</si>
  <si>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</si>
  <si>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</si>
  <si>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</si>
  <si>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</si>
  <si>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</si>
  <si>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</si>
  <si>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</si>
  <si>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</si>
  <si>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</si>
  <si>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</si>
  <si>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</si>
  <si>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</si>
  <si>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</si>
  <si>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</si>
  <si>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</si>
  <si>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</si>
  <si>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</si>
  <si>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</si>
  <si>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</si>
  <si>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</si>
  <si>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</si>
  <si>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</si>
  <si>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</si>
  <si>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</si>
  <si>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</si>
  <si>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</si>
  <si>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</si>
  <si>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</si>
  <si>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</si>
  <si>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</si>
  <si>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</si>
  <si>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</si>
  <si>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</si>
  <si>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</si>
  <si>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</si>
  <si>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</si>
  <si>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</si>
  <si>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</si>
  <si>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</si>
  <si>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</si>
  <si>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</si>
  <si>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</si>
  <si>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</si>
  <si>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</si>
  <si>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</si>
  <si>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</si>
  <si>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</si>
  <si>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</si>
  <si>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</si>
  <si>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</si>
  <si>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</si>
  <si>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</si>
  <si>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</si>
  <si>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</si>
  <si>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</si>
  <si>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</si>
  <si>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</si>
  <si>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</si>
  <si>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</si>
  <si>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</si>
  <si>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</si>
  <si>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</si>
  <si>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</si>
  <si>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</si>
  <si>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</si>
  <si>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</si>
  <si>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</si>
  <si>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</si>
  <si>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</si>
  <si>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</si>
  <si>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</si>
  <si>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</si>
  <si>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</si>
  <si>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</si>
  <si>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</si>
  <si>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</si>
  <si>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</si>
  <si>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</si>
  <si>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</si>
  <si>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</si>
  <si>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</si>
  <si>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</si>
  <si>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</si>
  <si>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</si>
  <si>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</si>
  <si>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</si>
  <si>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</si>
  <si>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</si>
  <si>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</si>
  <si>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</si>
  <si>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</si>
  <si>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</si>
  <si>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</si>
  <si>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</si>
  <si>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</si>
  <si>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</si>
  <si>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</si>
  <si>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</si>
  <si>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</si>
  <si>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</si>
  <si>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</si>
  <si>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</si>
  <si>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</si>
  <si>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</si>
  <si>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</si>
  <si>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</si>
  <si>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</si>
  <si>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</si>
  <si>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</si>
  <si>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</si>
  <si>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</si>
  <si>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</si>
  <si>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</si>
  <si>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</si>
  <si>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</si>
  <si>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</si>
  <si>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</si>
  <si>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</si>
  <si>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</si>
  <si>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</si>
  <si>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</si>
  <si>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</si>
  <si>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</si>
  <si>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</si>
  <si>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</si>
  <si>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</si>
  <si>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</si>
  <si>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</si>
  <si>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</si>
  <si>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</si>
  <si>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</si>
  <si>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</si>
  <si>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</si>
  <si>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</si>
  <si>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</si>
  <si>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</si>
  <si>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</si>
  <si>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</si>
  <si>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</si>
  <si>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</si>
  <si>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</si>
  <si>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</si>
  <si>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</si>
  <si>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</si>
  <si>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</si>
  <si>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</si>
  <si>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</si>
  <si>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</si>
  <si>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</si>
  <si>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</si>
  <si>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</si>
  <si>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</si>
  <si>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</si>
  <si>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</si>
  <si>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</si>
  <si>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</si>
  <si>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</si>
  <si>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</si>
  <si>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</si>
  <si>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</si>
  <si>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</si>
  <si>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</si>
  <si>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</si>
  <si>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</si>
  <si>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</si>
  <si>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</si>
  <si>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</si>
  <si>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</si>
  <si>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</si>
  <si>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</si>
  <si>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</si>
  <si>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</si>
  <si>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</si>
  <si>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</si>
  <si>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</si>
  <si>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</si>
  <si>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</si>
  <si>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</si>
  <si>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</si>
  <si>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</si>
  <si>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</si>
  <si>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</si>
  <si>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</si>
  <si>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</si>
  <si>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</si>
  <si>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</si>
  <si>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</si>
  <si>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</si>
  <si>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</si>
  <si>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</si>
  <si>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</si>
  <si>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</si>
  <si>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</si>
  <si>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</si>
  <si>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</si>
  <si>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</si>
  <si>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</si>
  <si>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</si>
  <si>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</si>
  <si>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</si>
  <si>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</si>
  <si>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</si>
  <si>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</si>
  <si>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</si>
  <si>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</si>
  <si>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</si>
  <si>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</si>
  <si>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</si>
  <si>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</si>
  <si>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</si>
  <si>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</si>
  <si>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</si>
  <si>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</si>
  <si>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</si>
  <si>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</si>
  <si>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</si>
  <si>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</si>
  <si>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</si>
  <si>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</si>
  <si>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</si>
  <si>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</si>
  <si>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</si>
  <si>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</si>
  <si>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</si>
  <si>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</si>
  <si>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</si>
  <si>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</si>
  <si>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</si>
  <si>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</si>
  <si>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</si>
  <si>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</si>
  <si>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</si>
  <si>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</si>
  <si>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</si>
  <si>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</si>
  <si>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</si>
  <si>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</si>
  <si>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</si>
  <si>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</si>
  <si>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</si>
  <si>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</si>
  <si>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</si>
  <si>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</si>
  <si>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</si>
  <si>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</si>
  <si>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</si>
  <si>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</si>
  <si>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</si>
  <si>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</si>
  <si>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</si>
  <si>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</si>
  <si>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</si>
  <si>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</si>
  <si>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</si>
  <si>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</si>
  <si>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</si>
  <si>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</si>
  <si>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</si>
  <si>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</si>
  <si>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</si>
  <si>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</si>
  <si>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</si>
  <si>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</si>
  <si>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</si>
  <si>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</si>
  <si>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</si>
  <si>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</si>
  <si>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</si>
  <si>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</si>
  <si>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</si>
  <si>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</si>
  <si>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</si>
  <si>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</si>
  <si>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</si>
  <si>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</si>
  <si>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</si>
  <si>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</si>
  <si>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</si>
  <si>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</si>
  <si>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</si>
  <si>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</si>
  <si>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</si>
  <si>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</si>
  <si>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</si>
  <si>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</si>
  <si>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</si>
  <si>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</si>
  <si>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</si>
  <si>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</si>
  <si>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</si>
  <si>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</si>
  <si>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</si>
  <si>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</si>
  <si>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</si>
  <si>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</si>
  <si>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</si>
  <si>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</si>
  <si>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</si>
  <si>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</si>
  <si>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</si>
  <si>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</si>
  <si>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</si>
  <si>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</si>
  <si>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</si>
  <si>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</si>
  <si>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</si>
  <si>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</si>
  <si>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</si>
  <si>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</si>
  <si>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</si>
  <si>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</si>
  <si>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</si>
  <si>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</si>
  <si>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</si>
  <si>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</si>
  <si>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</si>
  <si>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</si>
  <si>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</si>
  <si>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</si>
  <si>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</si>
  <si>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</si>
  <si>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</si>
  <si>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</si>
  <si>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</si>
  <si>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</si>
  <si>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</si>
  <si>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</si>
  <si>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</si>
  <si>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</si>
  <si>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</si>
  <si>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</si>
  <si>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</si>
  <si>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</si>
  <si>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</si>
  <si>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</si>
  <si>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</si>
  <si>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</si>
  <si>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</si>
  <si>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</si>
  <si>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</si>
  <si>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</si>
  <si>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</si>
  <si>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</si>
  <si>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</si>
  <si>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</si>
  <si>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</si>
  <si>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</si>
  <si>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</si>
  <si>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</si>
  <si>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</si>
  <si>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</si>
  <si>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</si>
  <si>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</si>
  <si>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</si>
  <si>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</si>
  <si>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</si>
  <si>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</si>
  <si>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</si>
  <si>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</si>
  <si>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</si>
  <si>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</si>
  <si>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</si>
  <si>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</si>
  <si>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</si>
  <si>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</si>
  <si>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</si>
  <si>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</si>
  <si>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</si>
  <si>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</si>
  <si>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</si>
  <si>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</si>
  <si>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</si>
  <si>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</si>
  <si>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</si>
  <si>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</si>
  <si>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</si>
  <si>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</si>
  <si>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</si>
  <si>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</si>
  <si>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</si>
  <si>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</si>
  <si>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</si>
  <si>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</si>
  <si>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</si>
  <si>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</si>
  <si>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</si>
  <si>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</si>
  <si>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</si>
  <si>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</si>
  <si>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</si>
  <si>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</si>
  <si>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</si>
  <si>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</si>
  <si>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</si>
  <si>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</si>
  <si>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</si>
  <si>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</si>
  <si>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</si>
  <si>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</si>
  <si>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</si>
  <si>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</si>
  <si>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</si>
  <si>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</si>
  <si>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</si>
  <si>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</si>
  <si>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</si>
  <si>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</si>
  <si>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</si>
  <si>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</si>
  <si>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</si>
  <si>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</si>
  <si>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</si>
  <si>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</si>
  <si>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</si>
  <si>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</si>
  <si>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</si>
  <si>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</si>
  <si>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</si>
  <si>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</si>
  <si>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</si>
  <si>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</si>
  <si>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</si>
  <si>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</si>
  <si>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</si>
  <si>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</si>
  <si>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</si>
  <si>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</si>
  <si>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</si>
  <si>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</si>
  <si>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</si>
  <si>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</si>
  <si>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</si>
  <si>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</si>
  <si>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</si>
  <si>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</si>
  <si>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</si>
  <si>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</si>
  <si>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</si>
  <si>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</si>
  <si>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</si>
  <si>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</si>
  <si>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</si>
  <si>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</si>
  <si>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</si>
  <si>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</si>
  <si>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</si>
  <si>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</si>
  <si>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</si>
  <si>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</si>
  <si>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</si>
  <si>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</si>
  <si>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</si>
  <si>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</si>
  <si>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</si>
  <si>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</si>
  <si>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</si>
  <si>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</si>
  <si>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</si>
  <si>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</si>
  <si>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</si>
  <si>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</si>
  <si>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</si>
  <si>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</si>
  <si>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</si>
  <si>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</si>
  <si>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</si>
  <si>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</si>
  <si>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</si>
  <si>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</si>
  <si>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</si>
  <si>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</si>
  <si>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</si>
  <si>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</si>
  <si>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</si>
  <si>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</si>
  <si>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</si>
  <si>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</si>
  <si>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</si>
  <si>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</si>
  <si>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</si>
  <si>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</si>
  <si>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</si>
  <si>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</si>
  <si>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</si>
  <si>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</si>
  <si>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</si>
  <si>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</si>
  <si>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</si>
  <si>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</si>
  <si>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</si>
  <si>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</si>
  <si>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</si>
  <si>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</si>
  <si>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</si>
  <si>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</si>
  <si>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</si>
  <si>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</si>
  <si>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</si>
  <si>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</si>
  <si>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</si>
  <si>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</si>
  <si>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</si>
  <si>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</si>
  <si>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</si>
  <si>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</si>
  <si>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</si>
  <si>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</si>
  <si>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</si>
  <si>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</si>
  <si>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</si>
  <si>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</si>
  <si>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</si>
  <si>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</si>
  <si>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</si>
  <si>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</si>
  <si>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</si>
  <si>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</si>
  <si>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</si>
  <si>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</si>
  <si>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</si>
  <si>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</si>
  <si>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</si>
  <si>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</si>
  <si>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</si>
  <si>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</si>
  <si>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</si>
  <si>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</si>
  <si>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</si>
  <si>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</si>
  <si>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</si>
  <si>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</si>
  <si>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</si>
  <si>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</si>
  <si>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</si>
  <si>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</si>
  <si>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</si>
  <si>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</si>
  <si>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</si>
  <si>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</si>
  <si>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</si>
  <si>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</si>
  <si>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</si>
  <si>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</si>
  <si>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</si>
  <si>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</si>
  <si>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</si>
  <si>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</si>
  <si>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</si>
  <si>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</si>
  <si>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</si>
  <si>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</si>
  <si>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</si>
  <si>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</si>
  <si>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</si>
  <si>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</si>
  <si>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</si>
  <si>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</si>
  <si>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</si>
  <si>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</si>
  <si>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</si>
  <si>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</si>
  <si>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</si>
  <si>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</si>
  <si>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</si>
  <si>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</si>
  <si>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</si>
  <si>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</si>
  <si>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</si>
  <si>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</si>
  <si>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</si>
  <si>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</si>
  <si>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</si>
  <si>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</si>
  <si>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</si>
  <si>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</si>
  <si>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</si>
  <si>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</si>
  <si>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</si>
  <si>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</si>
  <si>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</si>
  <si>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</si>
  <si>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</si>
  <si>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</si>
  <si>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</si>
  <si>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</si>
  <si>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</si>
  <si>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</si>
  <si>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</si>
  <si>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</si>
  <si>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</si>
  <si>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</si>
  <si>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</si>
  <si>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</si>
  <si>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</si>
  <si>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</si>
  <si>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</si>
  <si>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</si>
  <si>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</si>
  <si>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</si>
  <si>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</si>
  <si>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</si>
  <si>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</si>
  <si>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</si>
  <si>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</si>
  <si>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</si>
  <si>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</si>
  <si>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</si>
  <si>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</si>
  <si>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</si>
  <si>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</si>
  <si>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</si>
  <si>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</si>
  <si>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</si>
  <si>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</si>
  <si>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</si>
  <si>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</si>
  <si>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</si>
  <si>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</si>
  <si>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</si>
  <si>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</si>
  <si>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</si>
  <si>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</si>
  <si>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</si>
  <si>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</si>
  <si>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</si>
  <si>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</si>
  <si>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</si>
  <si>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</si>
  <si>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</si>
  <si>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</si>
  <si>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</si>
  <si>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</si>
  <si>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</si>
  <si>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</si>
  <si>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</si>
  <si>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</si>
  <si>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</si>
  <si>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</si>
  <si>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</si>
  <si>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</si>
  <si>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</si>
  <si>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</si>
  <si>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</si>
  <si>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</si>
  <si>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</si>
  <si>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</si>
  <si>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</si>
  <si>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</si>
  <si>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</si>
  <si>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</si>
  <si>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</si>
  <si>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</si>
  <si>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</si>
  <si>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</si>
  <si>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</si>
  <si>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</si>
  <si>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</si>
  <si>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</si>
  <si>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</si>
  <si>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</si>
  <si>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</si>
  <si>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</si>
  <si>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</si>
  <si>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</si>
  <si>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</si>
  <si>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</si>
  <si>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</si>
  <si>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</si>
  <si>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</si>
  <si>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</si>
  <si>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</si>
  <si>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</si>
  <si>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</si>
  <si>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</si>
  <si>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</si>
  <si>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</si>
  <si>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</si>
  <si>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</si>
  <si>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</si>
  <si>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</si>
  <si>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</si>
  <si>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</si>
  <si>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</si>
  <si>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</si>
  <si>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</si>
  <si>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</si>
  <si>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</si>
  <si>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</si>
  <si>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</si>
  <si>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</si>
  <si>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</si>
  <si>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</si>
  <si>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</si>
  <si>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</si>
  <si>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</si>
  <si>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</si>
  <si>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</si>
  <si>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</si>
  <si>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</si>
  <si>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</si>
  <si>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</si>
  <si>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</si>
  <si>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</si>
  <si>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</si>
  <si>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</si>
  <si>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</si>
  <si>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</si>
  <si>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</si>
  <si>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</si>
  <si>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</si>
  <si>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</si>
  <si>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</si>
  <si>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</si>
  <si>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</si>
  <si>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</si>
  <si>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</si>
  <si>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</si>
  <si>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</si>
  <si>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</si>
  <si>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</si>
  <si>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</si>
  <si>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</si>
  <si>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</si>
  <si>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</si>
  <si>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</si>
  <si>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</si>
  <si>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</si>
  <si>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</si>
  <si>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</si>
  <si>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</si>
  <si>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</si>
  <si>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</si>
  <si>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</si>
  <si>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</si>
  <si>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</si>
  <si>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</si>
  <si>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</si>
  <si>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</si>
  <si>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</si>
  <si>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</si>
  <si>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</si>
  <si>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</si>
  <si>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</si>
  <si>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</si>
  <si>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</si>
  <si>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</si>
  <si>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</si>
  <si>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</si>
  <si>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</si>
  <si>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</si>
  <si>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</si>
  <si>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</si>
  <si>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</si>
  <si>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</si>
  <si>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</si>
  <si>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</si>
  <si>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</si>
  <si>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</si>
  <si>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</si>
  <si>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</si>
  <si>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</si>
  <si>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</si>
  <si>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</si>
  <si>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</si>
  <si>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</si>
  <si>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</si>
  <si>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</si>
  <si>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</si>
  <si>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</si>
  <si>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</si>
  <si>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</si>
  <si>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</si>
  <si>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</si>
  <si>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</si>
  <si>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</si>
  <si>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</si>
  <si>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</si>
  <si>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</si>
  <si>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</si>
  <si>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</si>
  <si>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</si>
  <si>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</si>
  <si>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</si>
  <si>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</si>
  <si>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</si>
  <si>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</si>
  <si>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</si>
  <si>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</si>
  <si>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</si>
  <si>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</si>
  <si>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</si>
  <si>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</si>
  <si>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</si>
  <si>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</si>
  <si>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</si>
  <si>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</si>
  <si>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</si>
  <si>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</si>
  <si>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</si>
  <si>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</si>
  <si>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</si>
  <si>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</si>
  <si>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</si>
  <si>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</si>
  <si>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</si>
  <si>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</si>
  <si>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</si>
  <si>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</si>
  <si>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</si>
  <si>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</si>
  <si>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</si>
  <si>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</si>
  <si>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</si>
  <si>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</si>
  <si>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</si>
  <si>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</si>
  <si>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</si>
  <si>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</si>
  <si>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</si>
  <si>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</si>
  <si>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</si>
  <si>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</si>
  <si>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</si>
  <si>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</si>
  <si>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</si>
  <si>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</si>
  <si>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</si>
  <si>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</si>
  <si>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</si>
  <si>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</si>
  <si>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</si>
  <si>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</si>
  <si>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</si>
  <si>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</si>
  <si>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</si>
  <si>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</si>
  <si>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</si>
  <si>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</si>
  <si>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</si>
  <si>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</si>
  <si>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</si>
  <si>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</si>
  <si>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</si>
  <si>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</si>
  <si>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</si>
  <si>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</si>
  <si>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</si>
  <si>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</si>
  <si>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</si>
  <si>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</si>
  <si>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</si>
  <si>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</si>
  <si>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</si>
  <si>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</si>
  <si>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</si>
  <si>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</si>
  <si>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</si>
  <si>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</si>
  <si>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</si>
  <si>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</si>
  <si>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</si>
  <si>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</si>
  <si>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</si>
  <si>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</si>
  <si>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</si>
  <si>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</si>
  <si>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</si>
  <si>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</si>
  <si>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</si>
  <si>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</si>
  <si>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</si>
  <si>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</si>
  <si>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</si>
  <si>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</si>
  <si>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</si>
  <si>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</si>
  <si>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</si>
  <si>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</si>
  <si>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</si>
  <si>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</si>
  <si>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</si>
  <si>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</si>
  <si>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</si>
  <si>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</si>
  <si>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</si>
  <si>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</si>
  <si>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</si>
  <si>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</si>
  <si>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</si>
  <si>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</si>
  <si>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</si>
  <si>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</si>
  <si>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</si>
  <si>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</si>
  <si>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</si>
  <si>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</si>
  <si>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</si>
  <si>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</si>
  <si>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</si>
  <si>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</si>
  <si>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</si>
  <si>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</si>
  <si>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</si>
  <si>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</si>
  <si>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</si>
  <si>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</si>
  <si>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</si>
  <si>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</si>
  <si>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</si>
  <si>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</si>
  <si>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</si>
  <si>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</si>
  <si>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</si>
  <si>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</si>
  <si>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</si>
  <si>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</si>
  <si>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</si>
  <si>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</si>
  <si>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</si>
  <si>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</si>
  <si>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</si>
  <si>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</si>
  <si>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</si>
  <si>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</si>
  <si>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</si>
  <si>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</si>
  <si>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</si>
  <si>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</si>
  <si>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</si>
  <si>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</si>
  <si>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</si>
  <si>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</si>
  <si>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</si>
  <si>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</si>
  <si>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</si>
  <si>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</si>
  <si>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</si>
  <si>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</si>
  <si>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</si>
  <si>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</si>
  <si>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</si>
  <si>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</si>
  <si>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</si>
  <si>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</si>
  <si>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</si>
  <si>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</si>
  <si>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</si>
  <si>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</si>
  <si>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</si>
  <si>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</si>
  <si>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</si>
  <si>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</si>
  <si>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</si>
  <si>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</si>
  <si>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</si>
  <si>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</si>
  <si>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</si>
  <si>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</si>
  <si>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</si>
  <si>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</si>
  <si>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</si>
  <si>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</si>
  <si>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</si>
  <si>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</si>
  <si>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</si>
  <si>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</si>
  <si>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</si>
  <si>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</si>
  <si>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</si>
  <si>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</si>
  <si>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</si>
  <si>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</si>
  <si>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</si>
  <si>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</si>
  <si>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</si>
  <si>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</si>
  <si>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</si>
  <si>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</si>
  <si>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</si>
  <si>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</si>
  <si>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</si>
  <si>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</si>
  <si>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</si>
  <si>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</si>
  <si>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</si>
  <si>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</si>
  <si>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</si>
  <si>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</si>
  <si>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</si>
  <si>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</si>
  <si>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</si>
  <si>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</si>
  <si>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</si>
  <si>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</si>
  <si>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</si>
  <si>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</si>
  <si>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</si>
  <si>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</si>
  <si>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</si>
  <si>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</si>
  <si>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</si>
  <si>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</si>
  <si>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</si>
  <si>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</si>
  <si>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</si>
  <si>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</si>
  <si>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</si>
  <si>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</si>
  <si>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</si>
  <si>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</si>
  <si>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</si>
  <si>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</si>
  <si>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</si>
  <si>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</si>
  <si>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</si>
  <si>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</si>
  <si>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</si>
  <si>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</si>
  <si>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</si>
  <si>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</si>
  <si>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</si>
  <si>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</si>
  <si>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</si>
  <si>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</si>
  <si>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</si>
  <si>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</si>
  <si>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</si>
  <si>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</si>
  <si>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</si>
  <si>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</si>
  <si>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</si>
  <si>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</si>
  <si>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</si>
  <si>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</si>
  <si>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</si>
  <si>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</si>
  <si>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</si>
  <si>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</si>
  <si>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</si>
  <si>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</si>
  <si>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</si>
  <si>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</si>
  <si>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</si>
  <si>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</si>
  <si>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</si>
  <si>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</si>
  <si>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</si>
  <si>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</si>
  <si>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</si>
  <si>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</si>
  <si>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</si>
  <si>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</si>
  <si>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</si>
  <si>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</si>
  <si>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</si>
  <si>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</si>
  <si>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</si>
  <si>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</si>
  <si>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</si>
  <si>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</si>
  <si>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</si>
  <si>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</si>
  <si>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</si>
  <si>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</si>
  <si>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</si>
  <si>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</si>
  <si>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</si>
  <si>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</si>
  <si>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</si>
  <si>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</si>
  <si>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</si>
  <si>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</si>
  <si>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</si>
  <si>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</si>
  <si>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</si>
  <si>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</si>
  <si>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</si>
  <si>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</si>
  <si>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</si>
  <si>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</si>
  <si>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</si>
  <si>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</si>
  <si>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</si>
  <si>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</si>
  <si>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</si>
  <si>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</si>
  <si>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</si>
  <si>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</si>
  <si>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</si>
  <si>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</si>
  <si>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</si>
  <si>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</si>
  <si>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</si>
  <si>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</si>
  <si>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</si>
  <si>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</si>
  <si>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</si>
  <si>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</si>
  <si>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</si>
  <si>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</si>
  <si>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</si>
  <si>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</si>
  <si>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</si>
  <si>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</si>
  <si>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</si>
  <si>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</si>
  <si>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</si>
  <si>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</si>
  <si>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</si>
  <si>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</si>
  <si>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</si>
  <si>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</si>
  <si>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</si>
  <si>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</si>
  <si>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</si>
  <si>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</si>
  <si>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</si>
  <si>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</si>
  <si>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</si>
  <si>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</si>
  <si>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</si>
  <si>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</si>
  <si>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</si>
  <si>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</si>
  <si>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</si>
  <si>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</si>
  <si>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</si>
  <si>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</si>
  <si>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</si>
  <si>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</si>
  <si>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</si>
  <si>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</si>
  <si>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</si>
  <si>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</si>
  <si>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</si>
  <si>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</si>
  <si>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</si>
  <si>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</si>
  <si>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</si>
  <si>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</si>
  <si>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</si>
  <si>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</si>
  <si>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</si>
  <si>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</si>
  <si>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</si>
  <si>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</si>
  <si>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</si>
  <si>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</si>
  <si>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</si>
  <si>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</si>
  <si>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</si>
  <si>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</si>
  <si>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</si>
  <si>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</si>
  <si>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</si>
  <si>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</si>
  <si>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</si>
  <si>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</si>
  <si>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</si>
  <si>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</si>
  <si>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</si>
  <si>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</si>
  <si>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</si>
  <si>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</si>
  <si>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</si>
  <si>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</si>
  <si>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</si>
  <si>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</si>
  <si>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</si>
  <si>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</si>
  <si>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</si>
  <si>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</si>
  <si>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</si>
  <si>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</si>
  <si>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</si>
  <si>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</si>
  <si>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</si>
  <si>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</si>
  <si>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</si>
  <si>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</si>
  <si>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</si>
  <si>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</si>
  <si>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</si>
  <si>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</si>
  <si>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</si>
  <si>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</si>
  <si>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</si>
  <si>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</si>
  <si>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</si>
  <si>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</si>
  <si>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</si>
  <si>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</si>
  <si>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</si>
  <si>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</si>
  <si>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</si>
  <si>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</si>
  <si>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</si>
  <si>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</si>
  <si>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</si>
  <si>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</si>
  <si>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</si>
  <si>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</si>
  <si>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</si>
  <si>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</si>
  <si>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</si>
  <si>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</si>
  <si>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</si>
  <si>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</si>
  <si>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</si>
  <si>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</si>
  <si>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</si>
  <si>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</si>
  <si>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</si>
  <si>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</si>
  <si>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</si>
  <si>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</si>
  <si>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</si>
  <si>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</si>
  <si>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</si>
  <si>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</si>
  <si>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</si>
  <si>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</si>
  <si>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</si>
  <si>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</si>
  <si>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</si>
  <si>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</si>
  <si>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</si>
  <si>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</si>
  <si>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</si>
  <si>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</si>
  <si>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</si>
  <si>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</si>
  <si>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</si>
  <si>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</si>
  <si>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</si>
  <si>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</si>
  <si>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</si>
  <si>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</si>
  <si>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</si>
  <si>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</si>
  <si>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</si>
  <si>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</si>
  <si>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</si>
  <si>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</si>
  <si>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</si>
  <si>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</si>
  <si>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</si>
  <si>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</si>
  <si>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</si>
  <si>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</si>
  <si>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</si>
  <si>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</si>
  <si>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</si>
  <si>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</si>
  <si>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</si>
  <si>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</si>
  <si>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</si>
  <si>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</si>
  <si>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</si>
  <si>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</si>
  <si>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</si>
  <si>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</si>
  <si>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</si>
  <si>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</si>
  <si>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</si>
  <si>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</si>
  <si>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</si>
  <si>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</si>
  <si>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</si>
  <si>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</si>
  <si>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</si>
  <si>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</si>
  <si>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</si>
  <si>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</si>
  <si>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</si>
  <si>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</si>
  <si>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</si>
  <si>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</si>
  <si>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</si>
  <si>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</si>
  <si>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</si>
  <si>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</si>
  <si>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</si>
  <si>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</si>
  <si>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</si>
  <si>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</si>
  <si>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</si>
  <si>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</si>
  <si>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</si>
  <si>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</si>
  <si>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</si>
  <si>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</si>
  <si>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</si>
  <si>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</si>
  <si>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</si>
  <si>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</si>
  <si>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</si>
  <si>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</si>
  <si>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</si>
  <si>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</si>
  <si>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</si>
  <si>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</si>
  <si>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</si>
  <si>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</si>
  <si>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</si>
  <si>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</si>
  <si>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</si>
  <si>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</si>
  <si>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</si>
  <si>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</si>
  <si>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</si>
  <si>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</si>
  <si>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</si>
  <si>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</si>
  <si>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</si>
  <si>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</si>
  <si>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</si>
  <si>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</si>
  <si>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</si>
  <si>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</si>
  <si>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</si>
  <si>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</si>
  <si>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</si>
  <si>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</si>
  <si>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</si>
  <si>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</si>
  <si>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</si>
  <si>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</si>
  <si>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</si>
  <si>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</si>
  <si>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</si>
  <si>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</si>
  <si>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</si>
  <si>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</si>
  <si>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</si>
  <si>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</si>
  <si>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</si>
  <si>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</si>
  <si>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</si>
  <si>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</si>
  <si>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</si>
  <si>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</si>
  <si>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</si>
  <si>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</si>
  <si>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</si>
  <si>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</si>
  <si>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</si>
  <si>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</si>
  <si>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</si>
  <si>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</si>
  <si>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</si>
  <si>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</si>
  <si>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</si>
  <si>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</si>
  <si>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</si>
  <si>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</si>
  <si>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</si>
  <si>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</si>
  <si>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</si>
  <si>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</si>
  <si>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</si>
  <si>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</si>
  <si>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</si>
  <si>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</si>
  <si>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</si>
  <si>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</si>
  <si>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</si>
  <si>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</si>
  <si>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</si>
  <si>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</si>
  <si>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</si>
  <si>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</si>
  <si>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</si>
  <si>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</si>
  <si>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</si>
  <si>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</si>
  <si>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</si>
  <si>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</si>
  <si>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</si>
  <si>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</si>
  <si>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</si>
  <si>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</si>
  <si>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</si>
  <si>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</si>
  <si>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</si>
  <si>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</si>
  <si>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</si>
  <si>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</si>
  <si>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</si>
  <si>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</si>
  <si>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</si>
  <si>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</si>
  <si>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</si>
  <si>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</si>
  <si>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</si>
  <si>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</si>
  <si>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</si>
  <si>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</si>
  <si>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</si>
  <si>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</si>
  <si>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</si>
  <si>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</si>
  <si>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</si>
  <si>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</si>
  <si>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</si>
  <si>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</si>
  <si>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</si>
  <si>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</si>
  <si>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</si>
  <si>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</si>
  <si>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</si>
  <si>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</si>
  <si>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</si>
  <si>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</si>
  <si>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</si>
  <si>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</si>
  <si>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</si>
  <si>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</si>
  <si>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</si>
  <si>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</si>
  <si>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</si>
  <si>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</si>
  <si>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</si>
  <si>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</si>
  <si>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</si>
  <si>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</si>
  <si>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</si>
  <si>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</si>
  <si>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</si>
  <si>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</si>
  <si>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</si>
  <si>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</si>
  <si>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</si>
  <si>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</si>
  <si>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</si>
  <si>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</si>
  <si>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</si>
  <si>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</si>
  <si>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</si>
  <si>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</si>
  <si>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</si>
  <si>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</si>
  <si>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</si>
  <si>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</si>
  <si>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</si>
  <si>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</si>
  <si>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</si>
  <si>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</si>
  <si>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</si>
  <si>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</si>
  <si>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</si>
  <si>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</si>
  <si>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</si>
  <si>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</si>
  <si>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</si>
  <si>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</si>
  <si>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</si>
  <si>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</si>
  <si>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</si>
  <si>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</si>
  <si>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</si>
  <si>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</si>
  <si>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</si>
  <si>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</si>
  <si>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</si>
  <si>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</si>
  <si>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</si>
  <si>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</si>
  <si>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</si>
  <si>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</si>
  <si>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</si>
  <si>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</si>
  <si>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</si>
  <si>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</si>
  <si>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</si>
  <si>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</si>
  <si>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</si>
  <si>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</si>
  <si>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</si>
  <si>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</si>
  <si>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</si>
  <si>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</si>
  <si>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</si>
  <si>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</si>
  <si>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</si>
  <si>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</si>
  <si>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</si>
  <si>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</si>
  <si>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</si>
  <si>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</si>
  <si>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</si>
  <si>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</si>
  <si>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</si>
  <si>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</si>
  <si>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</si>
  <si>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</si>
  <si>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</si>
  <si>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</si>
  <si>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</si>
  <si>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</si>
  <si>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</si>
  <si>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</si>
  <si>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</si>
  <si>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</si>
  <si>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</si>
  <si>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</si>
  <si>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</si>
  <si>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</si>
  <si>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</si>
  <si>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</si>
  <si>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</si>
  <si>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</si>
  <si>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</si>
  <si>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</si>
  <si>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</si>
  <si>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</si>
  <si>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</si>
  <si>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</si>
  <si>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</si>
  <si>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</si>
  <si>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</si>
  <si>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</si>
  <si>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</si>
  <si>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</si>
  <si>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</si>
  <si>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</si>
  <si>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</si>
  <si>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</si>
  <si>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</si>
  <si>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</si>
  <si>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</si>
  <si>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</si>
  <si>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</si>
  <si>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</si>
  <si>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</si>
  <si>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</si>
  <si>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</si>
  <si>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</si>
  <si>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</si>
  <si>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</si>
  <si>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</si>
  <si>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</si>
  <si>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</si>
  <si>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</si>
  <si>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</si>
  <si>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</si>
  <si>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</si>
  <si>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</si>
  <si>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</si>
  <si>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</si>
  <si>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</si>
  <si>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</si>
  <si>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</si>
  <si>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</si>
  <si>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</si>
  <si>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</si>
  <si>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</si>
  <si>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</si>
  <si>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</si>
  <si>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</si>
  <si>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</si>
  <si>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</si>
  <si>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</si>
  <si>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</si>
  <si>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</si>
  <si>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</si>
  <si>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</si>
  <si>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</si>
  <si>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</si>
  <si>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</si>
  <si>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</si>
  <si>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</si>
  <si>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</si>
  <si>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</si>
  <si>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</si>
  <si>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</si>
  <si>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</si>
  <si>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</si>
  <si>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</si>
  <si>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</si>
  <si>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</si>
  <si>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</si>
  <si>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</si>
  <si>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</si>
  <si>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</si>
  <si>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</si>
  <si>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</si>
  <si>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</si>
  <si>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</si>
  <si>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</si>
  <si>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</si>
  <si>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</si>
  <si>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</si>
  <si>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</si>
  <si>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</si>
  <si>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</si>
  <si>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</si>
  <si>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</si>
  <si>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</si>
  <si>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</si>
  <si>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</si>
  <si>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</si>
  <si>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</si>
  <si>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</si>
  <si>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</si>
  <si>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</si>
  <si>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</si>
  <si>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</si>
  <si>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</si>
  <si>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</si>
  <si>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</si>
  <si>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</si>
  <si>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</si>
  <si>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</si>
  <si>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</si>
  <si>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</si>
  <si>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</si>
  <si>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</si>
  <si>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</si>
  <si>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</si>
  <si>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</si>
  <si>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</si>
  <si>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</si>
  <si>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</si>
  <si>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</si>
  <si>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</si>
  <si>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</si>
  <si>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</si>
  <si>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</si>
  <si>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</si>
  <si>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</si>
  <si>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</si>
  <si>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</si>
  <si>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</si>
  <si>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</si>
  <si>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</si>
  <si>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</si>
  <si>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</si>
  <si>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</si>
  <si>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</si>
  <si>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</si>
  <si>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</si>
  <si>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</si>
  <si>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</si>
  <si>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</si>
  <si>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</si>
  <si>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</si>
  <si>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</si>
  <si>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</si>
  <si>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</si>
  <si>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</si>
  <si>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</si>
  <si>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</si>
  <si>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</si>
  <si>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</si>
  <si>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</si>
  <si>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</si>
  <si>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</si>
  <si>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</si>
  <si>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</si>
  <si>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</si>
  <si>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</si>
  <si>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</si>
  <si>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</si>
  <si>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</si>
  <si>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</si>
  <si>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</si>
  <si>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</si>
  <si>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</si>
  <si>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</si>
  <si>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</si>
  <si>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</si>
  <si>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</si>
  <si>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</si>
  <si>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</si>
  <si>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</si>
  <si>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</si>
  <si>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</si>
  <si>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</si>
  <si>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</si>
  <si>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</si>
  <si>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</si>
  <si>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</si>
  <si>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</si>
  <si>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</si>
  <si>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</si>
  <si>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</si>
  <si>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</si>
  <si>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</si>
  <si>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</si>
  <si>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</si>
  <si>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</si>
  <si>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</si>
  <si>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</si>
  <si>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</si>
  <si>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</si>
  <si>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</si>
  <si>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</si>
  <si>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</si>
  <si>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</si>
  <si>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</si>
  <si>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</si>
  <si>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</si>
  <si>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</si>
  <si>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</si>
  <si>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</si>
  <si>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</si>
  <si>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</si>
  <si>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</si>
  <si>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</si>
  <si>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</si>
  <si>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</si>
  <si>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</si>
  <si>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</si>
  <si>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</si>
  <si>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</si>
  <si>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</si>
  <si>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</si>
  <si>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</si>
  <si>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</si>
  <si>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</si>
  <si>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</si>
  <si>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</si>
  <si>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</si>
  <si>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</si>
  <si>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</si>
  <si>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</si>
  <si>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</si>
  <si>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</si>
  <si>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</si>
  <si>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</si>
  <si>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</si>
  <si>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</si>
  <si>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</si>
  <si>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</si>
  <si>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</si>
  <si>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</si>
  <si>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</si>
  <si>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</si>
  <si>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</si>
  <si>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</si>
  <si>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</si>
  <si>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</si>
  <si>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</si>
  <si>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</si>
  <si>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</si>
  <si>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</si>
  <si>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</si>
  <si>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</si>
  <si>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</si>
  <si>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</si>
  <si>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</si>
  <si>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</si>
  <si>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</si>
  <si>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</si>
  <si>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</si>
  <si>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</si>
  <si>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</si>
  <si>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</si>
  <si>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</si>
  <si>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</si>
  <si>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</si>
  <si>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</si>
  <si>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</si>
  <si>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</si>
  <si>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</si>
  <si>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</si>
  <si>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</si>
  <si>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</si>
  <si>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</si>
  <si>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</si>
  <si>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</si>
  <si>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</si>
  <si>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</si>
  <si>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</si>
  <si>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</si>
  <si>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</si>
  <si>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</si>
  <si>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</si>
  <si>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</si>
  <si>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</si>
  <si>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</si>
  <si>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</si>
  <si>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</si>
  <si>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</si>
  <si>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</si>
  <si>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</si>
  <si>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</si>
  <si>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</si>
  <si>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</si>
  <si>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</si>
  <si>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</si>
  <si>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</si>
  <si>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</si>
  <si>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</si>
  <si>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</si>
  <si>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</si>
  <si>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</si>
  <si>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</si>
  <si>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</si>
  <si>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</si>
  <si>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</si>
  <si>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</si>
  <si>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</si>
  <si>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</si>
  <si>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</si>
  <si>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</si>
  <si>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</si>
  <si>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</si>
  <si>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</si>
  <si>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</si>
  <si>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</si>
  <si>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</si>
  <si>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</si>
  <si>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</si>
  <si>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</si>
  <si>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</si>
  <si>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</si>
  <si>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</si>
  <si>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</si>
  <si>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</si>
  <si>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</si>
  <si>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</si>
  <si>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</si>
  <si>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</si>
  <si>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</si>
  <si>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</si>
  <si>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</si>
  <si>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</si>
  <si>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</si>
  <si>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</si>
  <si>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</si>
  <si>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</si>
  <si>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</si>
  <si>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</si>
  <si>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</si>
  <si>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</si>
  <si>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</si>
  <si>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</si>
  <si>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</si>
  <si>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</si>
  <si>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</si>
  <si>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</si>
  <si>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</si>
  <si>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</si>
  <si>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</si>
  <si>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</si>
  <si>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</si>
  <si>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</si>
  <si>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</si>
  <si>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</si>
  <si>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</si>
  <si>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</si>
  <si>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</si>
  <si>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</si>
  <si>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</si>
  <si>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</si>
  <si>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</si>
  <si>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</si>
  <si>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</si>
  <si>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</si>
  <si>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</si>
  <si>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</si>
  <si>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</si>
  <si>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</si>
  <si>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</si>
  <si>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</si>
  <si>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</si>
  <si>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</si>
  <si>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</si>
  <si>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</si>
  <si>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</si>
  <si>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</si>
  <si>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</si>
  <si>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</si>
  <si>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</si>
  <si>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</si>
  <si>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</si>
  <si>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</si>
  <si>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</si>
  <si>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</si>
  <si>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</si>
  <si>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</si>
  <si>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</si>
  <si>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</si>
  <si>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</si>
  <si>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</si>
  <si>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</si>
  <si>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</si>
  <si>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</si>
  <si>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</si>
  <si>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</si>
  <si>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</si>
  <si>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</si>
  <si>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</si>
  <si>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</si>
  <si>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</si>
  <si>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</si>
  <si>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</si>
  <si>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</si>
  <si>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</si>
  <si>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</si>
  <si>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</si>
  <si>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</si>
  <si>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</si>
  <si>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</si>
  <si>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</si>
  <si>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</si>
  <si>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</si>
  <si>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</si>
  <si>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</si>
  <si>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</si>
  <si>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</si>
  <si>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</si>
  <si>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</si>
  <si>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</si>
  <si>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</si>
  <si>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</si>
  <si>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</si>
  <si>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</si>
  <si>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</si>
  <si>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</si>
  <si>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</si>
  <si>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</si>
  <si>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</si>
  <si>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</si>
  <si>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</si>
  <si>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</si>
  <si>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</si>
  <si>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</si>
  <si>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</si>
  <si>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</si>
  <si>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</si>
  <si>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</si>
  <si>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</si>
  <si>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</si>
  <si>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</si>
  <si>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</si>
  <si>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</si>
  <si>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</si>
  <si>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</si>
  <si>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</si>
  <si>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</si>
  <si>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</si>
  <si>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</si>
  <si>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</si>
  <si>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</si>
  <si>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</si>
  <si>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</si>
  <si>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</si>
  <si>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</si>
  <si>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</si>
  <si>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</si>
  <si>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</si>
  <si>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</si>
  <si>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</si>
  <si>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</si>
  <si>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</si>
  <si>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</si>
  <si>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</si>
  <si>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</si>
  <si>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</si>
  <si>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</si>
  <si>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</si>
  <si>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</si>
  <si>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</si>
  <si>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</si>
  <si>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</si>
  <si>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</si>
  <si>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</si>
  <si>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</si>
  <si>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</si>
  <si>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</si>
  <si>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</si>
  <si>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</si>
  <si>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</si>
  <si>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</si>
  <si>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</si>
  <si>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</si>
  <si>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</si>
  <si>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</si>
  <si>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</si>
  <si>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</si>
  <si>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</si>
  <si>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</si>
  <si>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</si>
  <si>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</si>
  <si>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</si>
  <si>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</si>
  <si>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</si>
  <si>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</si>
  <si>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</si>
  <si>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</si>
  <si>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</si>
  <si>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</si>
  <si>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</si>
  <si>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</si>
  <si>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</si>
  <si>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</si>
  <si>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</si>
  <si>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</si>
  <si>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</si>
  <si>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</si>
  <si>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</si>
  <si>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</si>
  <si>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</si>
  <si>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</si>
  <si>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</si>
  <si>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</si>
  <si>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</si>
  <si>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</si>
  <si>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</si>
  <si>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</si>
  <si>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</si>
  <si>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</si>
  <si>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</si>
  <si>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</si>
  <si>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</si>
  <si>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</si>
  <si>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</si>
  <si>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</si>
  <si>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</si>
  <si>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</si>
  <si>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</si>
  <si>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</si>
  <si>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</si>
  <si>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</si>
  <si>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</si>
  <si>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</si>
  <si>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</si>
  <si>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</si>
  <si>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</si>
  <si>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</si>
  <si>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</si>
  <si>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</si>
  <si>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</si>
  <si>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</si>
  <si>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</si>
  <si>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</si>
  <si>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</si>
  <si>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</si>
  <si>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</si>
  <si>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</si>
  <si>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</si>
  <si>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</si>
  <si>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</si>
  <si>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</si>
  <si>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</si>
  <si>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</si>
  <si>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</si>
  <si>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</si>
  <si>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</si>
  <si>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</si>
  <si>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</si>
  <si>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</si>
  <si>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</si>
  <si>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</si>
  <si>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</si>
  <si>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</si>
  <si>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</si>
  <si>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</si>
  <si>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</si>
  <si>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</si>
  <si>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</si>
  <si>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</si>
  <si>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</si>
  <si>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</si>
  <si>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</si>
  <si>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</si>
  <si>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</si>
  <si>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</si>
  <si>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</si>
  <si>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</si>
  <si>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</si>
  <si>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</si>
  <si>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</si>
  <si>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</si>
  <si>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</si>
  <si>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</si>
  <si>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</si>
  <si>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</si>
  <si>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</si>
  <si>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</si>
  <si>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</si>
  <si>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</si>
  <si>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</si>
  <si>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</si>
  <si>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</si>
  <si>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</si>
  <si>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</si>
  <si>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</si>
  <si>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</si>
  <si>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</si>
  <si>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</si>
  <si>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</si>
  <si>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</si>
  <si>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</si>
  <si>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</si>
  <si>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</si>
  <si>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</si>
  <si>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</si>
  <si>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</si>
  <si>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</si>
  <si>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</si>
  <si>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</si>
  <si>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</si>
  <si>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</si>
  <si>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</si>
  <si>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</si>
  <si>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</si>
  <si>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</si>
  <si>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</si>
  <si>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</si>
  <si>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</si>
  <si>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</si>
  <si>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</si>
  <si>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</si>
  <si>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</si>
  <si>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</si>
  <si>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</si>
  <si>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</si>
  <si>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</si>
  <si>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</si>
  <si>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</si>
  <si>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</si>
  <si>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</si>
  <si>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</si>
  <si>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</si>
  <si>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</si>
  <si>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</si>
  <si>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</si>
  <si>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</si>
  <si>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</si>
  <si>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</si>
  <si>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</si>
  <si>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</si>
  <si>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</si>
  <si>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</si>
  <si>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</si>
  <si>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</si>
  <si>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</si>
  <si>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</si>
  <si>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</si>
  <si>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</si>
  <si>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</si>
  <si>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</si>
  <si>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</si>
  <si>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</si>
  <si>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</si>
  <si>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</si>
  <si>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</si>
  <si>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</si>
  <si>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</si>
  <si>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</si>
  <si>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</si>
  <si>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</si>
  <si>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</si>
  <si>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</si>
  <si>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</si>
  <si>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</si>
  <si>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</si>
  <si>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</si>
  <si>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</si>
  <si>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</si>
  <si>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</si>
  <si>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</si>
  <si>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</si>
  <si>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</si>
  <si>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</si>
  <si>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</si>
  <si>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</si>
  <si>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</si>
  <si>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</si>
  <si>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</si>
  <si>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</si>
  <si>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</si>
  <si>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</si>
  <si>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</si>
  <si>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</si>
  <si>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</si>
  <si>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</si>
  <si>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</si>
  <si>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</si>
  <si>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</si>
  <si>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</si>
  <si>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</si>
  <si>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</si>
  <si>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</si>
  <si>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</si>
  <si>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</si>
  <si>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</si>
  <si>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</si>
  <si>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</si>
  <si>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</si>
  <si>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</si>
  <si>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</si>
  <si>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</si>
  <si>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</si>
  <si>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</si>
  <si>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</si>
  <si>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</si>
  <si>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</si>
  <si>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</si>
  <si>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</si>
  <si>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</si>
  <si>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</si>
  <si>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</si>
  <si>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</si>
  <si>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</si>
  <si>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</si>
  <si>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</si>
  <si>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</si>
  <si>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</si>
  <si>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</si>
  <si>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</si>
  <si>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</si>
  <si>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</si>
  <si>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</si>
  <si>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</si>
  <si>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</si>
  <si>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</si>
  <si>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</si>
  <si>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</si>
  <si>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</si>
  <si>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</si>
  <si>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</si>
  <si>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</si>
  <si>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</si>
  <si>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</si>
  <si>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</si>
  <si>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</si>
  <si>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</si>
  <si>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</si>
  <si>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</si>
  <si>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</si>
  <si>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</si>
  <si>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</si>
  <si>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</si>
  <si>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</si>
  <si>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</si>
  <si>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</si>
  <si>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</si>
  <si>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</si>
  <si>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</si>
  <si>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</si>
  <si>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</si>
  <si>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</si>
  <si>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</si>
  <si>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</si>
  <si>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</si>
  <si>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</si>
  <si>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</si>
  <si>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</si>
  <si>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</si>
  <si>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</si>
  <si>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</si>
  <si>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</si>
  <si>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</si>
  <si>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</si>
  <si>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</si>
  <si>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</si>
  <si>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</si>
  <si>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</si>
  <si>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</si>
  <si>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</si>
  <si>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</si>
  <si>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</si>
  <si>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</si>
  <si>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</si>
  <si>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</si>
  <si>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</si>
  <si>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</si>
  <si>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</si>
  <si>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</si>
  <si>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</si>
  <si>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</si>
  <si>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</si>
  <si>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</si>
  <si>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</si>
  <si>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</si>
  <si>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</si>
  <si>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</si>
  <si>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</si>
  <si>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</si>
  <si>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</si>
  <si>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</si>
  <si>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</si>
  <si>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</si>
  <si>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</si>
  <si>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</si>
  <si>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</si>
  <si>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</si>
  <si>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</si>
  <si>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</si>
  <si>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</si>
  <si>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</si>
  <si>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</si>
  <si>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</si>
  <si>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</si>
  <si>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</si>
  <si>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</si>
  <si>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</si>
  <si>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</si>
  <si>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</si>
  <si>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</si>
  <si>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</si>
  <si>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</si>
  <si>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</si>
  <si>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</si>
  <si>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</si>
  <si>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</si>
  <si>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</si>
  <si>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</si>
  <si>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</si>
  <si>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</si>
  <si>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</si>
  <si>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</si>
  <si>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</si>
  <si>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</si>
  <si>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</si>
  <si>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</si>
  <si>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</si>
  <si>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</si>
  <si>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</si>
  <si>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</si>
  <si>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</si>
  <si>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</si>
  <si>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</si>
  <si>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</si>
  <si>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</si>
  <si>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</si>
  <si>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</si>
  <si>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</si>
  <si>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</si>
  <si>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</si>
  <si>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</si>
  <si>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</si>
  <si>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</si>
  <si>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</si>
  <si>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</si>
  <si>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</si>
  <si>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</si>
  <si>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</si>
  <si>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</si>
  <si>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</si>
  <si>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</si>
  <si>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</si>
  <si>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</si>
  <si>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</si>
  <si>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</si>
  <si>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</si>
  <si>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</si>
  <si>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</si>
  <si>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</si>
  <si>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</si>
  <si>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</si>
  <si>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</si>
  <si>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</si>
  <si>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</si>
  <si>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</si>
  <si>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</si>
  <si>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</si>
  <si>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</si>
  <si>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</si>
  <si>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</si>
  <si>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</si>
  <si>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</si>
  <si>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</si>
  <si>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</si>
  <si>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</si>
  <si>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</si>
  <si>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</si>
  <si>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</si>
  <si>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</si>
  <si>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</si>
  <si>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</si>
  <si>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</si>
  <si>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</si>
  <si>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</si>
  <si>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</si>
  <si>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</si>
  <si>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</si>
  <si>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</si>
  <si>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</si>
  <si>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</si>
  <si>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</si>
  <si>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</si>
  <si>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</si>
  <si>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</si>
  <si>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</si>
  <si>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</si>
  <si>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</si>
  <si>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</si>
  <si>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</si>
  <si>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</si>
  <si>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</si>
  <si>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</si>
  <si>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</si>
  <si>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</si>
  <si>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</si>
  <si>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</si>
  <si>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</si>
  <si>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</si>
  <si>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</si>
  <si>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</si>
  <si>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</si>
  <si>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</si>
  <si>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</si>
  <si>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</si>
  <si>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</si>
  <si>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</si>
  <si>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</si>
  <si>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</si>
  <si>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</si>
  <si>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</si>
  <si>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</si>
  <si>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</si>
  <si>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</si>
  <si>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</si>
  <si>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</si>
  <si>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</si>
  <si>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</si>
  <si>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</si>
  <si>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</si>
  <si>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</si>
  <si>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</si>
  <si>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</si>
  <si>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</si>
  <si>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</si>
  <si>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</si>
  <si>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</si>
  <si>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</si>
  <si>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</si>
  <si>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</si>
  <si>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</si>
  <si>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</si>
  <si>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</si>
  <si>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</si>
  <si>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</si>
  <si>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</si>
  <si>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</si>
  <si>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</si>
  <si>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</si>
  <si>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</si>
  <si>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</si>
  <si>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</si>
  <si>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</si>
  <si>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</si>
  <si>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</si>
  <si>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</si>
  <si>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</si>
  <si>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</si>
  <si>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</si>
  <si>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</si>
  <si>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</si>
  <si>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</si>
  <si>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</si>
  <si>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</si>
  <si>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</si>
  <si>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</si>
  <si>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</si>
  <si>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</si>
  <si>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</si>
  <si>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</si>
  <si>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</si>
  <si>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</si>
  <si>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</si>
  <si>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</si>
  <si>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</si>
  <si>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</si>
  <si>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</si>
  <si>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</si>
  <si>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</si>
  <si>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</si>
  <si>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</si>
  <si>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</si>
  <si>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</si>
  <si>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</si>
  <si>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</si>
  <si>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</si>
  <si>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</si>
  <si>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</si>
  <si>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</si>
  <si>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</si>
  <si>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</si>
  <si>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</si>
  <si>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</si>
  <si>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</si>
  <si>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</si>
  <si>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</si>
  <si>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</si>
  <si>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</si>
  <si>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</si>
  <si>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</si>
  <si>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</si>
  <si>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</si>
  <si>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</si>
  <si>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</si>
  <si>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</si>
  <si>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</si>
  <si>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</si>
  <si>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</si>
  <si>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</si>
  <si>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</si>
  <si>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</si>
  <si>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</si>
  <si>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</si>
  <si>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</si>
  <si>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</si>
  <si>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</si>
  <si>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</si>
  <si>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</si>
  <si>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</si>
  <si>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</si>
  <si>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</si>
  <si>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</si>
  <si>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</si>
  <si>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</si>
  <si>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</si>
  <si>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</si>
  <si>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</si>
  <si>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</si>
  <si>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</si>
  <si>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</si>
  <si>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</si>
  <si>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</si>
  <si>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</si>
  <si>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</si>
  <si>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</si>
  <si>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</si>
  <si>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</si>
  <si>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</si>
  <si>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</si>
  <si>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</si>
  <si>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</si>
  <si>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</si>
  <si>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</si>
  <si>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</si>
  <si>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</si>
  <si>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</si>
  <si>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</si>
  <si>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</si>
  <si>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</si>
  <si>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</si>
  <si>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</si>
  <si>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</si>
  <si>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</si>
  <si>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</si>
  <si>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</si>
  <si>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</si>
  <si>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</si>
  <si>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</si>
  <si>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</si>
  <si>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</si>
  <si>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</si>
  <si>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</si>
  <si>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</si>
  <si>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</si>
  <si>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</si>
  <si>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</si>
  <si>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</si>
  <si>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</si>
  <si>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</si>
  <si>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</si>
  <si>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</si>
  <si>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</si>
  <si>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</si>
  <si>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</si>
  <si>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</si>
  <si>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</si>
  <si>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</si>
  <si>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</si>
  <si>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</si>
  <si>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</si>
  <si>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</si>
  <si>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</si>
  <si>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</si>
  <si>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</si>
  <si>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</si>
  <si>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</si>
  <si>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</si>
  <si>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</si>
  <si>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</si>
  <si>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</si>
  <si>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</si>
  <si>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</si>
  <si>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</si>
  <si>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</si>
  <si>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</si>
  <si>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</si>
  <si>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</si>
  <si>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</si>
  <si>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</si>
  <si>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</si>
  <si>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</si>
  <si>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</si>
  <si>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</si>
  <si>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</si>
  <si>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</si>
  <si>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</si>
  <si>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</si>
  <si>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</si>
  <si>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</si>
  <si>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</si>
  <si>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</si>
  <si>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</si>
  <si>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</si>
  <si>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</si>
  <si>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</si>
  <si>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</si>
  <si>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</si>
  <si>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</si>
  <si>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</si>
  <si>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</si>
  <si>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</si>
  <si>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</si>
  <si>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</si>
  <si>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</si>
  <si>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</si>
  <si>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</si>
  <si>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</si>
  <si>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</si>
  <si>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</si>
  <si>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</si>
  <si>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</si>
  <si>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</si>
  <si>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</si>
  <si>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</si>
  <si>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</si>
  <si>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</si>
  <si>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</si>
  <si>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</si>
  <si>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</si>
  <si>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</si>
  <si>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</si>
  <si>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</si>
  <si>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</si>
  <si>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</si>
  <si>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</si>
  <si>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</si>
  <si>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</si>
  <si>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</si>
  <si>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</si>
  <si>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</si>
  <si>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</si>
  <si>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</si>
  <si>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</si>
  <si>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</si>
  <si>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</si>
  <si>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</si>
  <si>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</si>
  <si>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</si>
  <si>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</si>
  <si>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</si>
  <si>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</si>
  <si>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</si>
  <si>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</si>
  <si>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</si>
  <si>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</si>
  <si>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</si>
  <si>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</si>
  <si>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</si>
  <si>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</si>
  <si>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</si>
  <si>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</si>
  <si>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</si>
  <si>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</si>
  <si>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</si>
  <si>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</si>
  <si>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</si>
  <si>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</si>
  <si>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</si>
  <si>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</si>
  <si>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</si>
  <si>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</si>
  <si>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</si>
  <si>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</si>
  <si>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</si>
  <si>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</si>
  <si>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</si>
  <si>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</si>
  <si>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</si>
  <si>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</si>
  <si>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</si>
  <si>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</si>
  <si>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</si>
  <si>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</si>
  <si>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</si>
  <si>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</si>
  <si>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</si>
  <si>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</si>
  <si>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</si>
  <si>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</si>
  <si>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</si>
  <si>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</si>
  <si>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</si>
  <si>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</si>
  <si>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</si>
  <si>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</si>
  <si>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</si>
  <si>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</si>
  <si>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</si>
  <si>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</si>
  <si>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</si>
  <si>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</si>
  <si>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</si>
  <si>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</si>
  <si>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</si>
  <si>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</si>
  <si>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</si>
  <si>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</si>
  <si>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</si>
  <si>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</si>
  <si>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</si>
  <si>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</si>
  <si>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</si>
  <si>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</si>
  <si>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</si>
  <si>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</si>
  <si>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</si>
  <si>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</si>
  <si>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</si>
  <si>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</si>
  <si>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</si>
  <si>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</si>
  <si>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</si>
  <si>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</si>
  <si>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</si>
  <si>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</si>
  <si>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</si>
  <si>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</si>
  <si>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</si>
  <si>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</si>
  <si>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</si>
  <si>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</si>
  <si>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</si>
  <si>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</si>
  <si>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</si>
  <si>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</si>
  <si>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</si>
  <si>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</si>
  <si>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</si>
  <si>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</si>
  <si>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</si>
  <si>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</si>
  <si>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</si>
  <si>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</si>
  <si>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</si>
  <si>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</si>
  <si>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</si>
  <si>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</si>
  <si>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</si>
  <si>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</si>
  <si>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</si>
  <si>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</si>
  <si>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</si>
  <si>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</si>
  <si>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</si>
  <si>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</si>
  <si>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</si>
  <si>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</si>
  <si>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</si>
  <si>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</si>
  <si>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</si>
  <si>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</si>
  <si>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</si>
  <si>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</si>
  <si>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</si>
  <si>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</si>
  <si>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</si>
  <si>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</si>
  <si>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</si>
  <si>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</si>
  <si>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</si>
  <si>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</si>
  <si>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</si>
  <si>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</si>
  <si>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</si>
  <si>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</si>
  <si>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</si>
  <si>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</si>
  <si>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</si>
  <si>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</si>
  <si>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</si>
  <si>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</si>
  <si>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</si>
  <si>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</si>
  <si>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</si>
  <si>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</si>
  <si>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</si>
  <si>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</si>
  <si>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</si>
  <si>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</si>
  <si>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</si>
  <si>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</si>
  <si>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</si>
  <si>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</si>
  <si>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</si>
  <si>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</si>
  <si>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</si>
  <si>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</si>
  <si>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</si>
  <si>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</si>
  <si>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</si>
  <si>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</si>
  <si>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</si>
  <si>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</si>
  <si>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</si>
  <si>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</si>
  <si>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</si>
  <si>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</si>
  <si>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</si>
  <si>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</si>
  <si>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</si>
  <si>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</si>
  <si>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</si>
  <si>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</si>
  <si>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</si>
  <si>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</si>
  <si>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</si>
  <si>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</si>
  <si>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</si>
  <si>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</si>
  <si>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</si>
  <si>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</si>
  <si>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</si>
  <si>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</si>
  <si>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</si>
  <si>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</si>
  <si>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</si>
  <si>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</si>
  <si>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</si>
  <si>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</si>
  <si>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</si>
  <si>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</si>
  <si>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</si>
  <si>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</si>
  <si>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</si>
  <si>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</si>
  <si>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</si>
  <si>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</si>
  <si>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</si>
  <si>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</si>
  <si>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</si>
  <si>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</si>
  <si>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</si>
  <si>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</si>
  <si>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</si>
  <si>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</si>
  <si>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</si>
  <si>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</si>
  <si>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</si>
  <si>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</si>
  <si>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</si>
  <si>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</si>
  <si>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</si>
  <si>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</si>
  <si>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</si>
  <si>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</si>
  <si>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</si>
  <si>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</si>
  <si>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</si>
  <si>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</si>
  <si>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</si>
  <si>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</si>
  <si>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</si>
  <si>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</si>
  <si>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</si>
  <si>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</si>
  <si>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</si>
  <si>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</si>
  <si>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</si>
  <si>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</si>
  <si>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</si>
  <si>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</si>
  <si>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</si>
  <si>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</si>
  <si>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</si>
  <si>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</si>
  <si>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</si>
  <si>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</si>
  <si>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</si>
  <si>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</si>
  <si>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</si>
  <si>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</si>
  <si>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</si>
  <si>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</si>
  <si>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</si>
  <si>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</si>
  <si>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</si>
  <si>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</si>
  <si>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</si>
  <si>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</si>
  <si>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</si>
  <si>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</si>
  <si>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</si>
  <si>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</si>
  <si>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</si>
  <si>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</si>
  <si>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</si>
  <si>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</si>
  <si>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</si>
  <si>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</si>
  <si>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</si>
  <si>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</si>
  <si>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</si>
  <si>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</si>
  <si>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</si>
  <si>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</si>
  <si>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</si>
  <si>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</si>
  <si>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</si>
  <si>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</si>
  <si>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</si>
  <si>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</si>
  <si>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</si>
  <si>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</si>
  <si>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</si>
  <si>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</si>
  <si>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</si>
  <si>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</si>
  <si>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</si>
  <si>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</si>
  <si>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</si>
  <si>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</si>
  <si>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</si>
  <si>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</si>
  <si>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</si>
  <si>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</si>
  <si>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</si>
  <si>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</si>
  <si>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</si>
  <si>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</si>
  <si>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</si>
  <si>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</si>
  <si>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</si>
  <si>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</si>
  <si>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</si>
  <si>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</si>
  <si>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</si>
  <si>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</si>
  <si>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</si>
  <si>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</si>
  <si>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</si>
  <si>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</si>
  <si>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</si>
  <si>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</si>
  <si>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</si>
  <si>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</si>
  <si>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</si>
  <si>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</si>
  <si>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</si>
  <si>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</si>
  <si>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</si>
  <si>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</si>
  <si>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</si>
  <si>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</si>
  <si>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</si>
  <si>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</si>
  <si>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</si>
  <si>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</si>
  <si>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</si>
  <si>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</si>
  <si>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</si>
  <si>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</si>
  <si>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</si>
  <si>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</si>
  <si>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</si>
  <si>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</si>
  <si>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</si>
  <si>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</si>
  <si>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</si>
  <si>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</si>
  <si>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</si>
  <si>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</si>
  <si>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</si>
  <si>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</si>
  <si>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</si>
  <si>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</si>
  <si>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</si>
  <si>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</si>
  <si>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</si>
  <si>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</si>
  <si>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</si>
  <si>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</si>
  <si>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</si>
  <si>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</si>
  <si>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</si>
  <si>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</si>
  <si>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</si>
  <si>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</si>
  <si>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</si>
  <si>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</si>
  <si>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</si>
  <si>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</si>
  <si>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</si>
  <si>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</si>
  <si>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</si>
  <si>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</si>
  <si>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</si>
  <si>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</si>
  <si>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</si>
  <si>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</si>
  <si>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</si>
  <si>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</si>
  <si>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</si>
  <si>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</si>
  <si>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</si>
  <si>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</si>
  <si>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</si>
  <si>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</si>
  <si>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</si>
  <si>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</si>
  <si>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</si>
  <si>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</si>
  <si>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</si>
  <si>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</si>
  <si>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</si>
  <si>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</si>
  <si>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</si>
  <si>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</si>
  <si>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</si>
  <si>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</si>
  <si>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</si>
  <si>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</si>
  <si>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</si>
  <si>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</si>
  <si>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</si>
  <si>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</si>
  <si>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</si>
  <si>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</si>
  <si>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</si>
  <si>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</si>
  <si>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</si>
  <si>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</si>
  <si>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</si>
  <si>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</si>
  <si>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</si>
  <si>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</si>
  <si>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</si>
  <si>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</si>
  <si>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</si>
  <si>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</si>
  <si>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</si>
  <si>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</si>
  <si>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</si>
  <si>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</si>
  <si>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</si>
  <si>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</si>
  <si>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</si>
  <si>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</si>
  <si>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</si>
  <si>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</si>
  <si>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</si>
  <si>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</si>
  <si>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</si>
  <si>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</si>
  <si>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</si>
  <si>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</si>
  <si>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</si>
  <si>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</si>
  <si>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</si>
  <si>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</si>
  <si>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</si>
  <si>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</si>
  <si>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</si>
  <si>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</si>
  <si>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</si>
  <si>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</si>
  <si>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</si>
  <si>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</si>
  <si>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</si>
  <si>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</si>
  <si>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</si>
  <si>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</si>
  <si>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</si>
  <si>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</si>
  <si>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</si>
  <si>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</si>
  <si>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</si>
  <si>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</si>
  <si>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</si>
  <si>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</si>
  <si>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</si>
  <si>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</si>
  <si>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</si>
  <si>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</si>
  <si>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</si>
  <si>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</si>
  <si>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</si>
  <si>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</si>
  <si>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</si>
  <si>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</si>
  <si>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</si>
  <si>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</si>
  <si>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</si>
  <si>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</si>
  <si>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</si>
  <si>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</si>
  <si>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</si>
  <si>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</si>
  <si>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</si>
  <si>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</si>
  <si>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</si>
  <si>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</si>
  <si>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</si>
  <si>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</si>
  <si>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</si>
  <si>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</si>
  <si>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</si>
  <si>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</si>
  <si>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</si>
  <si>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</si>
  <si>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</si>
  <si>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</si>
  <si>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</si>
  <si>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</si>
  <si>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</si>
  <si>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</si>
  <si>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</si>
  <si>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</si>
  <si>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</si>
  <si>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</si>
  <si>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</si>
  <si>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</si>
  <si>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</si>
  <si>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</si>
  <si>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</si>
  <si>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</si>
  <si>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</si>
  <si>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</si>
  <si>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</si>
  <si>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</si>
  <si>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</si>
  <si>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</si>
  <si>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</si>
  <si>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</si>
  <si>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</si>
  <si>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</si>
  <si>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</si>
  <si>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</si>
  <si>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</si>
  <si>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</si>
  <si>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</si>
  <si>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</si>
  <si>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</si>
  <si>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</si>
  <si>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</si>
  <si>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</si>
  <si>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</si>
  <si>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</si>
  <si>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</si>
  <si>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</si>
  <si>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</si>
  <si>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</si>
  <si>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</si>
  <si>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</si>
  <si>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</si>
  <si>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</si>
  <si>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</si>
  <si>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</si>
  <si>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</si>
  <si>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</si>
  <si>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</si>
  <si>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</si>
  <si>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</si>
  <si>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</si>
  <si>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</si>
  <si>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</si>
  <si>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</si>
  <si>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</si>
  <si>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</si>
  <si>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</si>
  <si>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</si>
  <si>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</si>
  <si>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</si>
  <si>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</si>
  <si>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</si>
  <si>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</si>
  <si>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</si>
  <si>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</si>
  <si>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</si>
  <si>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</si>
  <si>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</si>
  <si>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</si>
  <si>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</si>
  <si>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</si>
  <si>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</si>
  <si>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</si>
  <si>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</si>
  <si>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</si>
  <si>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</si>
  <si>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</si>
  <si>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</si>
  <si>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</si>
  <si>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</si>
  <si>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</si>
  <si>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</si>
  <si>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</si>
  <si>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</si>
  <si>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</si>
  <si>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</si>
  <si>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</si>
  <si>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</si>
  <si>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</si>
  <si>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</si>
  <si>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</si>
  <si>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</si>
  <si>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</si>
  <si>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</si>
  <si>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</si>
  <si>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</si>
  <si>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</si>
  <si>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</si>
  <si>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</si>
  <si>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</si>
  <si>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</si>
  <si>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</si>
  <si>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</si>
  <si>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</si>
  <si>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</si>
  <si>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</si>
  <si>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</si>
  <si>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</si>
  <si>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</si>
  <si>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</si>
  <si>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</si>
  <si>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</si>
  <si>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</si>
  <si>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</si>
  <si>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</si>
  <si>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</si>
  <si>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</si>
  <si>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</si>
  <si>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</si>
  <si>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</si>
  <si>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</si>
  <si>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</si>
  <si>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</si>
  <si>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</si>
  <si>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</si>
  <si>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</si>
  <si>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</si>
  <si>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</si>
  <si>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</si>
  <si>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</si>
  <si>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</si>
  <si>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</si>
  <si>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</si>
  <si>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</si>
  <si>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</si>
  <si>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</si>
  <si>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</si>
  <si>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</si>
  <si>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</si>
  <si>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</si>
  <si>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</si>
  <si>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</si>
  <si>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</si>
  <si>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</si>
  <si>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</si>
  <si>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</si>
  <si>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</si>
  <si>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</si>
  <si>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</si>
  <si>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</si>
  <si>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</si>
  <si>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</si>
  <si>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</si>
  <si>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</si>
  <si>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</si>
  <si>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</si>
  <si>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</si>
  <si>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</si>
  <si>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</si>
  <si>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</si>
  <si>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</si>
  <si>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</si>
  <si>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</si>
  <si>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</si>
  <si>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</si>
  <si>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</si>
  <si>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</si>
  <si>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</si>
  <si>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</si>
  <si>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</si>
  <si>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</si>
  <si>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</si>
  <si>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</si>
  <si>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</si>
  <si>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</si>
  <si>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</si>
  <si>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</si>
  <si>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</si>
  <si>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</si>
  <si>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</si>
  <si>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</si>
  <si>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</si>
  <si>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</si>
  <si>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</si>
  <si>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</si>
  <si>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</si>
  <si>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</si>
  <si>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</si>
  <si>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</si>
  <si>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</si>
  <si>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</si>
  <si>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</si>
  <si>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</si>
  <si>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</si>
  <si>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</si>
  <si>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</si>
  <si>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</si>
  <si>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</si>
  <si>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</si>
  <si>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</si>
  <si>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</si>
  <si>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</si>
  <si>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</si>
  <si>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</si>
  <si>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</si>
  <si>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</si>
  <si>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</si>
  <si>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</si>
  <si>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</si>
  <si>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</si>
  <si>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</si>
  <si>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</si>
  <si>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</si>
  <si>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</si>
  <si>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</si>
  <si>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</si>
  <si>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</si>
  <si>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</si>
  <si>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</si>
  <si>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</si>
  <si>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</si>
  <si>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</si>
  <si>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</si>
  <si>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</si>
  <si>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</si>
  <si>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</si>
  <si>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</si>
  <si>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</si>
  <si>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</si>
  <si>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</si>
  <si>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</si>
  <si>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</si>
  <si>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</si>
  <si>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</si>
  <si>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</si>
  <si>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</si>
  <si>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</si>
  <si>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</si>
  <si>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</si>
  <si>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</si>
  <si>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</si>
  <si>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</si>
  <si>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</si>
  <si>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</si>
  <si>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</si>
  <si>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</si>
  <si>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</si>
  <si>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</si>
  <si>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</si>
  <si>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</si>
  <si>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</si>
  <si>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</si>
  <si>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</si>
  <si>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</si>
  <si>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</si>
  <si>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</si>
  <si>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</si>
  <si>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</si>
  <si>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</si>
  <si>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</si>
  <si>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</si>
  <si>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</si>
  <si>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</si>
  <si>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</si>
  <si>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</si>
  <si>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</si>
  <si>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</si>
  <si>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</si>
  <si>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</si>
  <si>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</si>
  <si>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</si>
  <si>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</si>
  <si>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</si>
  <si>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</si>
  <si>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</si>
  <si>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</si>
  <si>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</si>
  <si>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</si>
  <si>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</si>
  <si>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</si>
  <si>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</si>
  <si>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</si>
  <si>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</si>
  <si>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</si>
  <si>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</si>
  <si>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</si>
  <si>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</si>
  <si>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</si>
  <si>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</si>
  <si>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</si>
  <si>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</si>
  <si>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</si>
  <si>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</si>
  <si>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</si>
  <si>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</si>
  <si>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</si>
  <si>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</si>
  <si>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</si>
  <si>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</si>
  <si>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</si>
  <si>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</si>
  <si>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</si>
  <si>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</si>
  <si>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</si>
  <si>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</si>
  <si>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</si>
  <si>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</si>
  <si>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</si>
  <si>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</si>
  <si>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</si>
  <si>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</si>
  <si>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</si>
  <si>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</si>
  <si>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</si>
  <si>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</si>
  <si>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</si>
  <si>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</si>
  <si>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</si>
  <si>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</si>
  <si>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</si>
  <si>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</si>
  <si>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</si>
  <si>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</si>
  <si>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</si>
  <si>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</si>
  <si>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</si>
  <si>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</si>
  <si>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</si>
  <si>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</si>
  <si>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</si>
  <si>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</si>
  <si>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</si>
  <si>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</si>
  <si>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</si>
  <si>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</si>
  <si>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</si>
  <si>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</si>
  <si>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</si>
  <si>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</si>
  <si>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</si>
  <si>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</si>
  <si>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</si>
  <si>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</si>
  <si>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</si>
  <si>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</si>
  <si>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</si>
  <si>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</si>
  <si>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</si>
  <si>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</si>
  <si>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</si>
  <si>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</si>
  <si>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</si>
  <si>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</si>
  <si>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</si>
  <si>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</si>
  <si>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</si>
  <si>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</si>
  <si>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</si>
  <si>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</si>
  <si>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</si>
  <si>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</si>
  <si>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</si>
  <si>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</si>
  <si>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</si>
  <si>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</si>
  <si>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</si>
  <si>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</si>
  <si>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</si>
  <si>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</si>
  <si>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</si>
  <si>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</si>
  <si>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</si>
  <si>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</si>
  <si>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</si>
  <si>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</si>
  <si>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</si>
  <si>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</si>
  <si>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</si>
  <si>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</si>
  <si>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</si>
  <si>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</si>
  <si>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</si>
  <si>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</si>
  <si>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</si>
  <si>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</si>
  <si>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</si>
  <si>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</si>
  <si>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</si>
  <si>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</si>
  <si>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</si>
  <si>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</si>
  <si>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</si>
  <si>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</si>
  <si>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</si>
  <si>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</si>
  <si>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</si>
  <si>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</si>
  <si>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</si>
  <si>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</si>
  <si>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</si>
  <si>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</si>
  <si>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</si>
  <si>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</si>
  <si>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</si>
  <si>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</si>
  <si>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</si>
  <si>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</si>
  <si>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</si>
  <si>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</si>
  <si>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</si>
  <si>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</si>
  <si>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</si>
  <si>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</si>
  <si>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</si>
  <si>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</si>
  <si>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</si>
  <si>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</si>
  <si>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</si>
  <si>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</si>
  <si>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</si>
  <si>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</si>
  <si>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</si>
  <si>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</si>
  <si>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</si>
  <si>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</si>
  <si>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</si>
  <si>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</si>
  <si>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</si>
  <si>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</si>
  <si>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</si>
  <si>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</si>
  <si>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</si>
  <si>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</si>
  <si>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</si>
  <si>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</si>
  <si>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</si>
  <si>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</si>
  <si>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</si>
  <si>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</si>
  <si>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</si>
  <si>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</si>
  <si>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</si>
  <si>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</si>
  <si>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</si>
  <si>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</si>
  <si>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</si>
  <si>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</si>
  <si>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</si>
  <si>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</si>
  <si>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</si>
  <si>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</si>
  <si>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</si>
  <si>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</si>
  <si>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</si>
  <si>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</si>
  <si>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</si>
  <si>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</si>
  <si>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</si>
  <si>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</si>
  <si>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</si>
  <si>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</si>
  <si>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</si>
  <si>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</si>
  <si>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</si>
  <si>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</si>
  <si>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</si>
  <si>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</si>
  <si>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</si>
  <si>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</si>
  <si>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</si>
  <si>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</si>
  <si>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</si>
  <si>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</si>
  <si>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</si>
  <si>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</si>
  <si>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</si>
  <si>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</si>
  <si>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</si>
  <si>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</si>
  <si>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</si>
  <si>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</si>
  <si>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</si>
  <si>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</si>
  <si>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</si>
  <si>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</si>
  <si>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</si>
  <si>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</si>
  <si>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</si>
  <si>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</si>
  <si>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</si>
  <si>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</si>
  <si>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</si>
  <si>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</si>
  <si>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</si>
  <si>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</si>
  <si>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</si>
  <si>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</si>
  <si>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</si>
  <si>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</si>
  <si>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</si>
  <si>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</si>
  <si>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</si>
  <si>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</si>
  <si>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</si>
  <si>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</si>
  <si>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</si>
  <si>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</si>
  <si>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</si>
  <si>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</si>
  <si>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</si>
  <si>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</si>
  <si>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</si>
  <si>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</si>
  <si>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</si>
  <si>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</si>
  <si>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</si>
  <si>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</si>
  <si>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</si>
  <si>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</si>
  <si>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</si>
  <si>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</si>
  <si>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</si>
  <si>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</si>
  <si>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</si>
  <si>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</si>
  <si>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</si>
  <si>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</si>
  <si>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</si>
  <si>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</si>
  <si>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</si>
  <si>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</si>
  <si>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</si>
  <si>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</si>
  <si>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</si>
  <si>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</si>
  <si>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</si>
  <si>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</si>
  <si>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</si>
  <si>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</si>
  <si>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</si>
  <si>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</si>
  <si>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</si>
  <si>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</si>
  <si>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</si>
  <si>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</si>
  <si>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</si>
  <si>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</si>
  <si>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</si>
  <si>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</si>
  <si>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</si>
  <si>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</si>
  <si>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</si>
  <si>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</si>
  <si>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</si>
  <si>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</si>
  <si>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</si>
  <si>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</si>
  <si>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</si>
  <si>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</si>
  <si>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</si>
  <si>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</si>
  <si>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</si>
  <si>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</si>
  <si>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</si>
  <si>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</si>
  <si>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</si>
  <si>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</si>
  <si>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</si>
  <si>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</si>
  <si>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</si>
  <si>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</si>
  <si>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</si>
  <si>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</si>
  <si>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</si>
  <si>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</si>
  <si>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</si>
  <si>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</si>
  <si>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</si>
  <si>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</si>
  <si>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</si>
  <si>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</si>
  <si>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</si>
  <si>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</si>
  <si>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</si>
  <si>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</si>
  <si>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</si>
  <si>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</si>
  <si>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</si>
  <si>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</si>
  <si>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</si>
  <si>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</si>
  <si>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</si>
  <si>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</si>
  <si>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</si>
  <si>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</si>
  <si>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</si>
  <si>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</si>
  <si>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</si>
  <si>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</si>
  <si>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</si>
  <si>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</si>
  <si>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</si>
  <si>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</si>
  <si>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</si>
  <si>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</si>
  <si>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</si>
  <si>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</si>
  <si>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</si>
  <si>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</si>
  <si>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</si>
  <si>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</si>
  <si>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</si>
  <si>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</si>
  <si>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</si>
  <si>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</si>
  <si>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</si>
  <si>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</si>
  <si>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</si>
  <si>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</si>
  <si>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</si>
  <si>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</si>
  <si>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</si>
  <si>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</si>
  <si>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</si>
  <si>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</si>
  <si>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</si>
  <si>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</si>
  <si>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</si>
  <si>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</si>
  <si>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</si>
  <si>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</si>
  <si>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</si>
  <si>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</si>
  <si>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</si>
  <si>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</si>
  <si>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</si>
  <si>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</si>
  <si>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</si>
  <si>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</si>
  <si>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</si>
  <si>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</si>
  <si>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</si>
  <si>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</si>
  <si>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</si>
  <si>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</si>
  <si>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</si>
  <si>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</si>
  <si>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</si>
  <si>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</si>
  <si>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</si>
  <si>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</si>
  <si>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</si>
  <si>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</si>
  <si>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</si>
  <si>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</si>
  <si>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</si>
  <si>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</si>
  <si>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</si>
  <si>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</si>
  <si>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</si>
  <si>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</si>
  <si>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</si>
  <si>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</si>
  <si>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</si>
  <si>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</si>
  <si>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</si>
  <si>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</si>
  <si>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</si>
  <si>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</si>
  <si>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</si>
  <si>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</si>
  <si>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</si>
  <si>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</si>
  <si>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</si>
  <si>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</si>
  <si>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</si>
  <si>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</si>
  <si>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</si>
  <si>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</si>
  <si>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</si>
  <si>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</si>
  <si>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</si>
  <si>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</si>
  <si>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</si>
  <si>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</si>
  <si>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</si>
  <si>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</si>
  <si>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</si>
  <si>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</si>
  <si>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</si>
  <si>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</si>
  <si>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</si>
  <si>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</si>
  <si>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</si>
  <si>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</si>
  <si>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</si>
  <si>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</si>
  <si>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</si>
  <si>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</si>
  <si>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</si>
  <si>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</si>
  <si>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</si>
  <si>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</si>
  <si>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</si>
  <si>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</si>
  <si>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</si>
  <si>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</si>
  <si>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</si>
  <si>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</si>
  <si>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</si>
  <si>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</si>
  <si>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</si>
  <si>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</si>
  <si>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</si>
  <si>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</si>
  <si>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</si>
  <si>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</si>
  <si>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</si>
  <si>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</si>
  <si>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</si>
  <si>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</si>
  <si>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</si>
  <si>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</si>
  <si>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</si>
  <si>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</si>
  <si>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</si>
  <si>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</si>
  <si>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</si>
  <si>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</si>
  <si>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</si>
  <si>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</si>
  <si>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</si>
  <si>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</si>
  <si>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</si>
  <si>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</si>
  <si>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</si>
  <si>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</si>
  <si>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</si>
  <si>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</si>
  <si>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</si>
  <si>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</si>
  <si>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</si>
  <si>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</si>
  <si>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</si>
  <si>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</si>
  <si>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</si>
  <si>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</si>
  <si>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</si>
  <si>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</si>
  <si>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</si>
  <si>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</si>
  <si>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</si>
  <si>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</si>
  <si>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</si>
  <si>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</si>
  <si>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</si>
  <si>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</si>
  <si>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</si>
  <si>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</si>
  <si>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</si>
  <si>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</si>
  <si>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</si>
  <si>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</si>
  <si>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</si>
  <si>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</si>
  <si>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</si>
  <si>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</si>
  <si>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</si>
  <si>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</si>
  <si>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</si>
  <si>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</si>
  <si>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</si>
  <si>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</si>
  <si>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</si>
  <si>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</si>
  <si>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</si>
  <si>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</si>
  <si>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</si>
  <si>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</si>
  <si>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</si>
  <si>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</si>
  <si>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</si>
  <si>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</si>
  <si>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</si>
  <si>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</si>
  <si>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</si>
  <si>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</si>
  <si>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</si>
  <si>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</si>
  <si>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</si>
  <si>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</si>
  <si>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</si>
  <si>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</si>
  <si>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</si>
  <si>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</si>
  <si>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</si>
  <si>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</si>
  <si>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</si>
  <si>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</si>
  <si>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</si>
  <si>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</si>
  <si>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</si>
  <si>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</si>
  <si>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</si>
  <si>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</si>
  <si>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</si>
  <si>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</si>
  <si>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</si>
  <si>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</si>
  <si>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</si>
  <si>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</si>
  <si>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</si>
  <si>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</si>
  <si>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</si>
  <si>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</si>
  <si>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</si>
  <si>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</si>
  <si>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</si>
  <si>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</si>
  <si>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</si>
  <si>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</si>
  <si>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</si>
  <si>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</si>
  <si>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</si>
  <si>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</si>
  <si>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</si>
  <si>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</si>
  <si>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</si>
  <si>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</si>
  <si>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</si>
  <si>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</si>
  <si>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</si>
  <si>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</si>
  <si>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</si>
  <si>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</si>
  <si>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</si>
  <si>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</si>
  <si>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</si>
  <si>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</si>
  <si>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</si>
  <si>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</si>
  <si>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</si>
  <si>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</si>
  <si>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</si>
  <si>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</si>
  <si>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</si>
  <si>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</si>
  <si>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</si>
  <si>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</si>
  <si>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</si>
  <si>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</si>
  <si>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</si>
  <si>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</si>
  <si>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</si>
  <si>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</si>
  <si>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</si>
  <si>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</si>
  <si>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</si>
  <si>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</si>
  <si>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</si>
  <si>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</si>
  <si>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</si>
  <si>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</si>
  <si>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</si>
  <si>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</si>
  <si>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</si>
  <si>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</si>
  <si>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</si>
  <si>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</si>
  <si>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</si>
  <si>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</si>
  <si>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</si>
  <si>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</si>
  <si>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</si>
  <si>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</si>
  <si>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</si>
  <si>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</si>
  <si>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</si>
  <si>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</si>
  <si>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</si>
  <si>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</si>
  <si>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</si>
  <si>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</si>
  <si>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</si>
  <si>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</si>
  <si>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</si>
  <si>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</si>
  <si>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</si>
  <si>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</si>
  <si>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</si>
  <si>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</si>
  <si>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</si>
  <si>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</si>
  <si>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</si>
  <si>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</si>
  <si>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</si>
  <si>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</si>
  <si>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</si>
  <si>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</si>
  <si>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</si>
  <si>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</si>
  <si>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</si>
  <si>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</si>
  <si>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</si>
  <si>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</si>
  <si>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</si>
  <si>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</si>
  <si>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</si>
  <si>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</si>
  <si>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</si>
  <si>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</si>
  <si>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</si>
  <si>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</si>
  <si>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</si>
  <si>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</si>
  <si>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</si>
  <si>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</si>
  <si>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</si>
  <si>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</si>
  <si>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</si>
  <si>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</si>
  <si>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</si>
  <si>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</si>
  <si>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</si>
  <si>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</si>
  <si>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</si>
  <si>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</si>
  <si>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</si>
  <si>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</si>
  <si>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</si>
  <si>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</si>
  <si>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</si>
  <si>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</si>
  <si>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</si>
  <si>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</si>
  <si>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</si>
  <si>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</si>
  <si>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</si>
  <si>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</si>
  <si>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</si>
  <si>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</si>
  <si>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</si>
  <si>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</si>
  <si>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</si>
  <si>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</si>
  <si>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</si>
  <si>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</si>
  <si>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</si>
  <si>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</si>
  <si>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</si>
  <si>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</si>
  <si>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</si>
  <si>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</si>
  <si>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</si>
  <si>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</si>
  <si>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</si>
  <si>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</si>
  <si>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</si>
  <si>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</si>
  <si>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</si>
  <si>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</si>
  <si>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</si>
  <si>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</si>
  <si>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</si>
  <si>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</si>
  <si>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</si>
  <si>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</si>
  <si>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</si>
  <si>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</si>
  <si>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</si>
  <si>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</si>
  <si>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</si>
  <si>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</si>
  <si>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</si>
  <si>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</si>
  <si>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</si>
  <si>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</si>
  <si>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</si>
  <si>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</si>
  <si>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</si>
  <si>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</si>
  <si>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</si>
  <si>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</si>
  <si>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</si>
  <si>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</si>
  <si>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</si>
  <si>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</si>
  <si>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</si>
  <si>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</si>
  <si>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</si>
  <si>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</si>
  <si>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</si>
  <si>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</si>
  <si>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</si>
  <si>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</si>
  <si>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</si>
  <si>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</si>
  <si>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</si>
  <si>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</si>
  <si>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</si>
  <si>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</si>
  <si>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</si>
  <si>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</si>
  <si>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</si>
  <si>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</si>
  <si>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</si>
  <si>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</si>
  <si>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</si>
  <si>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</si>
  <si>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</si>
  <si>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</si>
  <si>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</si>
  <si>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</si>
  <si>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</si>
  <si>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</si>
  <si>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</si>
  <si>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</si>
  <si>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</si>
  <si>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</si>
  <si>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</si>
  <si>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</si>
  <si>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</si>
  <si>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</si>
  <si>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</si>
  <si>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</si>
  <si>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</si>
  <si>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</si>
  <si>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</si>
  <si>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</si>
  <si>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</si>
  <si>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</si>
  <si>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</si>
  <si>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</si>
  <si>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</si>
  <si>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</si>
  <si>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</si>
  <si>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</si>
  <si>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</si>
  <si>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</si>
  <si>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</si>
  <si>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</si>
  <si>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</si>
  <si>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</si>
  <si>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</si>
  <si>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</si>
  <si>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</si>
  <si>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</si>
  <si>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</si>
  <si>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</si>
  <si>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</si>
  <si>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</si>
  <si>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</si>
  <si>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</si>
  <si>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</si>
  <si>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</si>
  <si>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</si>
  <si>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</si>
  <si>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</si>
  <si>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</si>
  <si>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</si>
  <si>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</si>
  <si>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</si>
  <si>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</si>
  <si>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</si>
  <si>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</si>
  <si>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</si>
  <si>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</si>
  <si>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</si>
  <si>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</si>
  <si>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</si>
  <si>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</si>
  <si>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</si>
  <si>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</si>
  <si>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</si>
  <si>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</si>
  <si>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</si>
  <si>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</si>
  <si>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</si>
  <si>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</si>
  <si>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</si>
  <si>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</si>
  <si>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</si>
  <si>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</si>
  <si>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</si>
  <si>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</si>
  <si>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</si>
  <si>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</si>
  <si>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</si>
  <si>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</si>
  <si>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</si>
  <si>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</si>
  <si>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</si>
  <si>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</si>
  <si>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</si>
  <si>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</si>
  <si>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</si>
  <si>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</si>
  <si>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</si>
  <si>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</si>
  <si>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</si>
  <si>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</si>
  <si>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</si>
  <si>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</si>
  <si>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</si>
  <si>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</si>
  <si>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</si>
  <si>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</si>
  <si>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</si>
  <si>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</si>
  <si>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</si>
  <si>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</si>
  <si>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</si>
  <si>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</si>
  <si>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</si>
  <si>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</si>
  <si>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</si>
  <si>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</si>
  <si>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</si>
  <si>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</si>
  <si>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</si>
  <si>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</si>
  <si>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</si>
  <si>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</si>
  <si>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</si>
  <si>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</si>
  <si>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</si>
  <si>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</si>
  <si>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</si>
  <si>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</si>
  <si>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</si>
  <si>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</si>
  <si>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</si>
  <si>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</si>
  <si>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</si>
  <si>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</si>
  <si>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</si>
  <si>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</si>
  <si>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</si>
  <si>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</si>
  <si>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</si>
  <si>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</si>
  <si>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</si>
  <si>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</si>
  <si>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</si>
  <si>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</si>
  <si>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</si>
  <si>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</si>
  <si>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</si>
  <si>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</si>
  <si>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</si>
  <si>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</si>
  <si>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</si>
  <si>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</si>
  <si>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</si>
  <si>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</si>
  <si>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</si>
  <si>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</si>
  <si>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</si>
  <si>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</si>
  <si>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</si>
  <si>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</si>
  <si>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</si>
  <si>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</si>
  <si>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</si>
  <si>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</si>
  <si>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</si>
  <si>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</si>
  <si>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</si>
  <si>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</si>
  <si>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</si>
  <si>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</si>
  <si>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</si>
  <si>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</si>
  <si>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</si>
  <si>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</si>
  <si>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</si>
  <si>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</si>
  <si>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</si>
  <si>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</si>
  <si>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</si>
  <si>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</si>
  <si>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</si>
  <si>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</si>
  <si>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</si>
  <si>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</si>
  <si>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</si>
  <si>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</si>
  <si>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</si>
  <si>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</si>
  <si>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</si>
  <si>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</si>
  <si>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</si>
  <si>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</si>
  <si>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</si>
  <si>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</si>
  <si>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</si>
  <si>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</si>
  <si>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</si>
  <si>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</si>
  <si>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</si>
  <si>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</si>
  <si>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</si>
  <si>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</si>
  <si>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</si>
  <si>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</si>
  <si>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</si>
  <si>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</si>
  <si>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</si>
  <si>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</si>
  <si>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</si>
  <si>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</si>
  <si>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</si>
  <si>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</si>
  <si>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</si>
  <si>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</si>
  <si>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</si>
  <si>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</si>
  <si>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</si>
  <si>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</si>
  <si>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</si>
  <si>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</si>
  <si>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</si>
  <si>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</si>
  <si>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</si>
  <si>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</si>
  <si>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</si>
  <si>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</si>
  <si>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</si>
  <si>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</si>
  <si>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</si>
  <si>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</si>
  <si>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</si>
  <si>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</si>
  <si>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</si>
  <si>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</si>
  <si>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</si>
  <si>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</si>
  <si>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</si>
  <si>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</si>
  <si>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</si>
  <si>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</si>
  <si>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</si>
  <si>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</si>
  <si>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</si>
  <si>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</si>
  <si>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</si>
  <si>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</si>
  <si>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</si>
  <si>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</si>
  <si>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</si>
  <si>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</si>
  <si>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</si>
  <si>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</si>
  <si>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</si>
  <si>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</si>
  <si>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</si>
  <si>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</si>
  <si>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</si>
  <si>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</si>
  <si>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</si>
  <si>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</si>
  <si>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</si>
  <si>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</si>
  <si>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</si>
  <si>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</si>
  <si>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</si>
  <si>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</si>
  <si>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</si>
  <si>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</si>
  <si>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</si>
  <si>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</si>
  <si>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</si>
  <si>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</si>
  <si>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</si>
  <si>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</si>
  <si>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</si>
  <si>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</si>
  <si>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</si>
  <si>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</si>
  <si>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</si>
  <si>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</si>
  <si>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</si>
  <si>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</si>
  <si>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</si>
  <si>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</si>
  <si>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</si>
  <si>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</si>
  <si>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</si>
  <si>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</si>
  <si>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</si>
  <si>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</si>
  <si>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</si>
  <si>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</si>
  <si>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</si>
  <si>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</si>
  <si>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</si>
  <si>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</si>
  <si>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</si>
  <si>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</si>
  <si>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</si>
  <si>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</si>
  <si>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</si>
  <si>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</si>
  <si>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</si>
  <si>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</si>
  <si>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</si>
  <si>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</si>
  <si>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</si>
  <si>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</si>
  <si>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</si>
  <si>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</si>
  <si>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</si>
  <si>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</si>
  <si>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</si>
  <si>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</si>
  <si>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</si>
  <si>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</si>
  <si>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</si>
  <si>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</si>
  <si>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</si>
  <si>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</si>
  <si>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</si>
  <si>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</si>
  <si>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</si>
  <si>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</si>
  <si>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</si>
  <si>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</si>
  <si>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</si>
  <si>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</si>
  <si>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</si>
  <si>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</si>
  <si>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</si>
  <si>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</si>
  <si>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</si>
  <si>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</si>
  <si>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</si>
  <si>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</si>
  <si>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</si>
  <si>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</si>
  <si>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</si>
  <si>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</si>
  <si>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</si>
  <si>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</si>
  <si>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</si>
  <si>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</si>
  <si>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</si>
  <si>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</si>
  <si>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</si>
  <si>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</si>
  <si>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</si>
  <si>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</si>
  <si>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</si>
  <si>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</si>
  <si>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</si>
  <si>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</si>
  <si>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</si>
  <si>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</si>
  <si>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</si>
  <si>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</si>
  <si>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</si>
  <si>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</si>
  <si>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</si>
  <si>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</si>
  <si>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</si>
  <si>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</si>
  <si>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</si>
  <si>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</si>
  <si>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</si>
  <si>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</si>
  <si>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</si>
  <si>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</si>
  <si>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</si>
  <si>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</si>
  <si>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</si>
  <si>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</si>
  <si>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</si>
  <si>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</si>
  <si>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</si>
  <si>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</si>
  <si>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</si>
  <si>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</si>
  <si>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</si>
  <si>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</si>
  <si>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</si>
  <si>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</si>
  <si>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</si>
  <si>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</si>
  <si>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</si>
  <si>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</si>
  <si>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</si>
  <si>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</si>
  <si>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</si>
  <si>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</si>
  <si>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</si>
  <si>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</si>
  <si>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</si>
  <si>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</si>
  <si>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</si>
  <si>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</si>
  <si>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</si>
  <si>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</si>
  <si>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</si>
  <si>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</si>
  <si>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</si>
  <si>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</si>
  <si>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</si>
  <si>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</si>
  <si>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</si>
  <si>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</si>
  <si>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</si>
  <si>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</si>
  <si>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</si>
  <si>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</si>
  <si>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</si>
  <si>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</si>
  <si>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</si>
  <si>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</si>
  <si>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</si>
  <si>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</si>
  <si>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</si>
  <si>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</si>
  <si>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</si>
  <si>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</si>
  <si>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</si>
  <si>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</si>
  <si>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</si>
  <si>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</si>
  <si>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</si>
  <si>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</si>
  <si>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</si>
  <si>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</si>
  <si>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</si>
  <si>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</si>
  <si>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</si>
  <si>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</si>
  <si>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</si>
  <si>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</si>
  <si>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</si>
  <si>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</si>
  <si>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</si>
  <si>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</si>
  <si>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</si>
  <si>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</si>
  <si>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</si>
  <si>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</si>
  <si>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</si>
  <si>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</si>
  <si>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</si>
  <si>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</si>
  <si>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</si>
  <si>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</si>
  <si>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</si>
  <si>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</si>
  <si>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</si>
  <si>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</si>
  <si>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</si>
  <si>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</si>
  <si>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</si>
  <si>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</si>
  <si>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</si>
  <si>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</si>
  <si>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</si>
  <si>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</si>
  <si>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</si>
  <si>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</si>
  <si>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</si>
  <si>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</si>
  <si>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</si>
  <si>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</si>
  <si>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</si>
  <si>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</si>
  <si>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</si>
  <si>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</si>
  <si>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</si>
  <si>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</si>
  <si>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</si>
  <si>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</si>
  <si>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</si>
  <si>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</si>
  <si>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</si>
  <si>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</si>
  <si>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</si>
  <si>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</si>
  <si>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</si>
  <si>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</si>
  <si>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</si>
  <si>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</si>
  <si>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</si>
  <si>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</si>
  <si>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</si>
  <si>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</si>
  <si>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</si>
  <si>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</si>
  <si>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</si>
  <si>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</si>
  <si>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</si>
  <si>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</si>
  <si>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</si>
  <si>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</si>
  <si>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</si>
  <si>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</si>
  <si>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</si>
  <si>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</si>
  <si>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</si>
  <si>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</si>
  <si>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</si>
  <si>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</si>
  <si>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</si>
  <si>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</si>
  <si>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</si>
  <si>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</si>
  <si>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</si>
  <si>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</si>
  <si>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</si>
  <si>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</si>
  <si>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</si>
  <si>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</si>
  <si>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</si>
  <si>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</si>
  <si>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</si>
  <si>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</si>
  <si>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</si>
  <si>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</si>
  <si>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</si>
  <si>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</si>
  <si>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</si>
  <si>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</si>
  <si>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</si>
  <si>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</si>
  <si>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</si>
  <si>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</si>
  <si>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</si>
  <si>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</si>
  <si>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</si>
  <si>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</si>
  <si>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</si>
  <si>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</si>
  <si>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</si>
  <si>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</si>
  <si>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</si>
  <si>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</si>
  <si>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</si>
  <si>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</si>
  <si>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</si>
  <si>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</si>
  <si>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</si>
  <si>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</si>
  <si>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</si>
  <si>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</si>
  <si>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</si>
  <si>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</si>
  <si>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</si>
  <si>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</si>
  <si>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</si>
  <si>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</si>
  <si>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</si>
  <si>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</si>
  <si>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</si>
  <si>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</si>
  <si>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</si>
  <si>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</si>
  <si>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</si>
  <si>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</si>
  <si>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</si>
  <si>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</si>
  <si>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</si>
  <si>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</si>
  <si>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</si>
  <si>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</si>
  <si>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</si>
  <si>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</si>
  <si>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</si>
  <si>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</si>
  <si>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</si>
  <si>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</si>
  <si>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</si>
  <si>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</si>
  <si>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</si>
  <si>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</si>
  <si>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</si>
  <si>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</si>
  <si>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</si>
  <si>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</si>
  <si>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</si>
  <si>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</si>
  <si>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</si>
  <si>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</si>
  <si>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</si>
  <si>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</si>
  <si>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</si>
  <si>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</si>
  <si>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</si>
  <si>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</si>
  <si>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</si>
  <si>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</si>
  <si>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</si>
  <si>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</si>
  <si>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</si>
  <si>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</si>
  <si>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</si>
  <si>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</si>
  <si>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</si>
  <si>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</si>
  <si>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</si>
  <si>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</si>
  <si>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</si>
  <si>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</si>
  <si>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</si>
  <si>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</si>
  <si>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</si>
  <si>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</si>
  <si>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</si>
  <si>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</si>
  <si>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</si>
  <si>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</si>
  <si>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</si>
  <si>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</si>
  <si>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</si>
  <si>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</si>
  <si>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</si>
  <si>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</si>
  <si>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</si>
  <si>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</si>
  <si>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</si>
  <si>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</si>
  <si>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</si>
  <si>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</si>
  <si>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</si>
  <si>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</si>
  <si>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</si>
  <si>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</si>
  <si>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</si>
  <si>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</si>
  <si>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</si>
  <si>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</si>
  <si>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</si>
  <si>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</si>
  <si>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</si>
  <si>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</si>
  <si>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</si>
  <si>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</si>
  <si>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</si>
  <si>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</si>
  <si>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</si>
  <si>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</si>
  <si>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</si>
  <si>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</si>
  <si>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</si>
  <si>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</si>
  <si>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</si>
  <si>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</si>
  <si>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</si>
  <si>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</si>
  <si>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</si>
  <si>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</si>
  <si>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</si>
  <si>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</si>
  <si>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</si>
  <si>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</si>
  <si>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</si>
  <si>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</si>
  <si>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</si>
  <si>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</si>
  <si>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</si>
  <si>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</si>
  <si>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</si>
  <si>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</si>
  <si>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</si>
  <si>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</si>
  <si>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</si>
  <si>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</si>
  <si>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</si>
  <si>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</si>
  <si>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</si>
  <si>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</si>
  <si>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</si>
  <si>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</si>
  <si>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</si>
  <si>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</si>
  <si>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</si>
  <si>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</si>
  <si>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</si>
  <si>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</si>
  <si>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</si>
  <si>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</si>
  <si>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</si>
  <si>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</si>
  <si>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</si>
  <si>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</si>
  <si>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</si>
  <si>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</si>
  <si>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</si>
  <si>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</si>
  <si>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</si>
  <si>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</si>
  <si>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</si>
  <si>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</si>
  <si>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</si>
  <si>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</si>
  <si>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</si>
  <si>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</si>
  <si>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</si>
  <si>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</si>
  <si>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</si>
  <si>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</si>
  <si>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</si>
  <si>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</si>
  <si>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</si>
  <si>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</si>
  <si>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</si>
  <si>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</si>
  <si>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</si>
  <si>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</si>
  <si>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</si>
  <si>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</si>
  <si>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</si>
  <si>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</si>
  <si>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</si>
  <si>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</si>
  <si>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</si>
  <si>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</si>
  <si>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</si>
  <si>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</si>
  <si>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</si>
  <si>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</si>
  <si>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</si>
  <si>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</si>
  <si>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</si>
  <si>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</si>
  <si>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</si>
  <si>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</si>
  <si>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</si>
  <si>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</si>
  <si>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</si>
  <si>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</si>
  <si>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</si>
  <si>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</si>
  <si>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</si>
  <si>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</si>
  <si>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</si>
  <si>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</si>
  <si>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</si>
  <si>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</si>
  <si>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</si>
  <si>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</si>
  <si>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</si>
  <si>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</si>
  <si>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</si>
  <si>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</si>
  <si>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</si>
  <si>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</si>
  <si>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</si>
  <si>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</si>
  <si>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</si>
  <si>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</si>
  <si>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</si>
  <si>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</si>
  <si>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</si>
  <si>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</si>
  <si>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</si>
  <si>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</si>
  <si>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</si>
  <si>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</si>
  <si>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</si>
  <si>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</si>
  <si>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</si>
  <si>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</si>
  <si>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</si>
  <si>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</si>
  <si>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</si>
  <si>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</si>
  <si>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</si>
  <si>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</si>
  <si>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</si>
  <si>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</si>
  <si>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</si>
  <si>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</si>
  <si>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</si>
  <si>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</si>
  <si>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</si>
  <si>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</si>
  <si>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</si>
  <si>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</si>
  <si>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</si>
  <si>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</si>
  <si>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</si>
  <si>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</si>
  <si>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</si>
  <si>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</si>
  <si>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</si>
  <si>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</si>
  <si>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</si>
  <si>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</si>
  <si>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</si>
  <si>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</si>
  <si>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</si>
  <si>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</si>
  <si>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</si>
  <si>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</si>
  <si>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</si>
  <si>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</si>
  <si>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</si>
  <si>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</si>
  <si>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</si>
  <si>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</si>
  <si>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</si>
  <si>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</si>
  <si>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</si>
  <si>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</si>
  <si>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</si>
  <si>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</si>
  <si>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</si>
  <si>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</si>
  <si>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</si>
  <si>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</si>
  <si>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</si>
  <si>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</si>
  <si>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</si>
  <si>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</si>
  <si>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</si>
  <si>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</si>
  <si>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</si>
  <si>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</si>
  <si>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</si>
  <si>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</si>
  <si>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</si>
  <si>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</si>
  <si>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</si>
  <si>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</si>
  <si>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</si>
  <si>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</si>
  <si>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</si>
  <si>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</si>
  <si>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</si>
  <si>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</si>
  <si>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</si>
  <si>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</si>
  <si>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</si>
  <si>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</si>
  <si>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</si>
  <si>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</si>
  <si>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</si>
  <si>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</si>
  <si>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</si>
  <si>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</si>
  <si>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</si>
  <si>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</si>
  <si>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</si>
  <si>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</si>
  <si>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</si>
  <si>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</si>
  <si>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</si>
  <si>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</si>
  <si>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</si>
  <si>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</si>
  <si>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</si>
  <si>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</si>
  <si>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</si>
  <si>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</si>
  <si>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</si>
  <si>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</si>
  <si>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</si>
  <si>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</si>
  <si>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</si>
  <si>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</si>
  <si>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</si>
  <si>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</si>
  <si>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</si>
  <si>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</si>
  <si>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</si>
  <si>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</si>
  <si>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</si>
  <si>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</si>
  <si>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</si>
  <si>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</si>
  <si>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</si>
  <si>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</si>
  <si>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</si>
  <si>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</si>
  <si>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</si>
  <si>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</si>
  <si>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</si>
  <si>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</si>
  <si>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</si>
  <si>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</si>
  <si>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</si>
  <si>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</si>
  <si>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</si>
  <si>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</si>
  <si>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</si>
  <si>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</si>
  <si>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</si>
  <si>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</si>
  <si>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</si>
  <si>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</si>
  <si>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</si>
  <si>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</si>
  <si>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</si>
  <si>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</si>
  <si>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</si>
  <si>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</si>
  <si>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</si>
  <si>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</si>
  <si>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</si>
  <si>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</si>
  <si>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</si>
  <si>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</si>
  <si>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</si>
  <si>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</si>
  <si>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</si>
  <si>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</si>
  <si>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</si>
  <si>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</si>
  <si>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</si>
  <si>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</si>
  <si>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</si>
  <si>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</si>
  <si>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</si>
  <si>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</si>
  <si>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</si>
  <si>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</si>
  <si>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</si>
  <si>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</si>
  <si>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</si>
  <si>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</si>
  <si>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</si>
  <si>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</si>
  <si>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</si>
  <si>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</si>
  <si>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</si>
  <si>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</si>
  <si>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</si>
  <si>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</si>
  <si>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</si>
  <si>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</si>
  <si>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</si>
  <si>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</si>
  <si>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</si>
  <si>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</si>
  <si>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</si>
  <si>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</si>
  <si>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</si>
  <si>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</si>
  <si>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</si>
  <si>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</si>
  <si>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</si>
  <si>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</si>
  <si>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</si>
  <si>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</si>
  <si>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</si>
  <si>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</si>
  <si>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</si>
  <si>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</si>
  <si>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</si>
  <si>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</si>
  <si>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</si>
  <si>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</si>
  <si>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</si>
  <si>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</si>
  <si>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</si>
  <si>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</si>
  <si>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</si>
  <si>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</si>
  <si>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</si>
  <si>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</si>
  <si>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</si>
  <si>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</si>
  <si>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</si>
  <si>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</si>
  <si>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</si>
  <si>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</si>
  <si>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</si>
  <si>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</si>
  <si>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</si>
  <si>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</si>
  <si>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</si>
  <si>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</si>
  <si>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</si>
  <si>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</si>
  <si>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</si>
  <si>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</si>
  <si>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</si>
  <si>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</si>
  <si>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</si>
  <si>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</si>
  <si>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</si>
  <si>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</si>
  <si>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</si>
  <si>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</si>
  <si>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</si>
  <si>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</si>
  <si>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</si>
  <si>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</si>
  <si>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</si>
  <si>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</si>
  <si>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</si>
  <si>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</si>
  <si>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</si>
  <si>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</si>
  <si>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</si>
  <si>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</si>
  <si>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</si>
  <si>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</si>
  <si>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</si>
  <si>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</si>
  <si>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</si>
  <si>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</si>
  <si>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</si>
  <si>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</si>
  <si>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</si>
  <si>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</si>
  <si>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</si>
  <si>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</si>
  <si>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</si>
  <si>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</si>
  <si>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</si>
  <si>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</si>
  <si>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</si>
  <si>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</si>
  <si>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</si>
  <si>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</si>
  <si>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</si>
  <si>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</si>
  <si>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</si>
  <si>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</si>
  <si>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</si>
  <si>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</si>
  <si>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</si>
  <si>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</si>
  <si>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</si>
  <si>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</si>
  <si>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</si>
  <si>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</si>
  <si>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</si>
  <si>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</si>
  <si>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</si>
  <si>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</si>
  <si>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</si>
  <si>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</si>
  <si>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</si>
  <si>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</si>
  <si>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</si>
  <si>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</si>
  <si>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</si>
  <si>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</si>
  <si>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</si>
  <si>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</si>
  <si>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</si>
  <si>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</si>
  <si>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</si>
  <si>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</si>
  <si>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</si>
  <si>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</si>
  <si>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</si>
  <si>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</si>
  <si>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</si>
  <si>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</si>
  <si>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</si>
  <si>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</si>
  <si>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</si>
  <si>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</si>
  <si>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</si>
  <si>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</si>
  <si>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</si>
  <si>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</si>
  <si>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</si>
  <si>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</si>
  <si>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</si>
  <si>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</si>
  <si>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</si>
  <si>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</si>
  <si>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</si>
  <si>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</si>
  <si>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</si>
  <si>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</si>
  <si>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</si>
  <si>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</si>
  <si>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</si>
  <si>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</si>
  <si>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</si>
  <si>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</si>
  <si>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</si>
  <si>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</si>
  <si>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</si>
  <si>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</si>
  <si>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</si>
  <si>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</si>
  <si>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</si>
  <si>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</si>
  <si>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</si>
  <si>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</si>
  <si>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</si>
  <si>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</si>
  <si>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</si>
  <si>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</si>
  <si>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</si>
  <si>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</si>
  <si>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</si>
  <si>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</si>
  <si>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</si>
  <si>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</si>
  <si>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</si>
  <si>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</si>
  <si>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</si>
  <si>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</si>
  <si>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</si>
  <si>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</si>
  <si>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</si>
  <si>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</si>
  <si>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</si>
  <si>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</si>
  <si>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</si>
  <si>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</si>
  <si>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</si>
  <si>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</si>
  <si>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</si>
  <si>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</si>
  <si>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</si>
  <si>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</si>
  <si>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</si>
  <si>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</si>
  <si>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</si>
  <si>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</si>
  <si>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</si>
  <si>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</si>
  <si>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</si>
  <si>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</si>
  <si>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</si>
  <si>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</si>
  <si>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</si>
  <si>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</si>
  <si>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</si>
  <si>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</si>
  <si>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</si>
  <si>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</si>
  <si>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</si>
  <si>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</si>
  <si>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</si>
  <si>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</si>
  <si>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</si>
  <si>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</si>
  <si>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</si>
  <si>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</si>
  <si>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</si>
  <si>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</si>
  <si>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</si>
  <si>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</si>
  <si>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</si>
  <si>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</si>
  <si>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</si>
  <si>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</si>
  <si>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</si>
  <si>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</si>
  <si>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</si>
  <si>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</si>
  <si>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</si>
  <si>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</si>
  <si>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</si>
  <si>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</si>
  <si>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</si>
  <si>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</si>
  <si>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</si>
  <si>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</si>
  <si>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</si>
  <si>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</si>
  <si>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</si>
  <si>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</si>
  <si>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</si>
  <si>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</si>
  <si>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</si>
  <si>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</si>
  <si>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</si>
  <si>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</si>
  <si>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</si>
  <si>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</si>
  <si>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</si>
  <si>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</si>
  <si>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</si>
  <si>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</si>
  <si>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</si>
  <si>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</si>
  <si>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</si>
  <si>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</si>
  <si>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</si>
  <si>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</si>
  <si>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</si>
  <si>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</si>
  <si>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</si>
  <si>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</si>
  <si>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</si>
  <si>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</si>
  <si>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</si>
  <si>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</si>
  <si>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</si>
  <si>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</si>
  <si>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</si>
  <si>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</si>
  <si>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</si>
  <si>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</si>
  <si>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</si>
  <si>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</si>
  <si>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</si>
  <si>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</si>
  <si>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</si>
  <si>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</si>
  <si>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</si>
  <si>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</si>
  <si>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</si>
  <si>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</si>
  <si>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</si>
  <si>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</si>
  <si>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</si>
  <si>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</si>
  <si>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</si>
  <si>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</si>
  <si>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</si>
  <si>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</si>
  <si>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</si>
  <si>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</si>
  <si>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</si>
  <si>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</si>
  <si>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</si>
  <si>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</si>
  <si>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</si>
  <si>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</si>
  <si>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</si>
  <si>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</si>
  <si>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</si>
  <si>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</si>
  <si>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</si>
  <si>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</si>
  <si>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</si>
  <si>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</si>
  <si>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</si>
  <si>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</si>
  <si>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</si>
  <si>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</si>
  <si>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</si>
  <si>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</si>
  <si>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</si>
  <si>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</si>
  <si>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</si>
  <si>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</si>
  <si>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</si>
  <si>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</si>
  <si>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</si>
  <si>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</si>
  <si>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</si>
  <si>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</si>
  <si>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</si>
  <si>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</si>
  <si>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</si>
  <si>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</si>
  <si>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</si>
  <si>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</si>
  <si>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</si>
  <si>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</si>
  <si>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</si>
  <si>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</si>
  <si>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</si>
  <si>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</si>
  <si>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</si>
  <si>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</si>
  <si>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</si>
  <si>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</si>
  <si>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</si>
  <si>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</si>
  <si>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</si>
  <si>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</si>
  <si>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</si>
  <si>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</si>
  <si>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</si>
  <si>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</si>
  <si>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</si>
  <si>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</si>
  <si>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</si>
  <si>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</si>
  <si>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</si>
  <si>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</si>
  <si>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</si>
  <si>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</si>
  <si>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</si>
  <si>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</si>
  <si>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</si>
  <si>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</si>
  <si>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</si>
  <si>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</si>
  <si>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</si>
  <si>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</si>
  <si>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</si>
  <si>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</si>
  <si>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</si>
  <si>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</si>
  <si>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</si>
  <si>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</si>
  <si>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</si>
  <si>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</si>
  <si>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</si>
  <si>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</si>
  <si>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</si>
  <si>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</si>
  <si>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</si>
  <si>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</si>
  <si>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</si>
  <si>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</si>
  <si>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</si>
  <si>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</si>
  <si>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</si>
  <si>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</si>
  <si>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</si>
  <si>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</si>
  <si>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</si>
  <si>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</si>
  <si>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</si>
  <si>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</si>
  <si>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</si>
  <si>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</si>
  <si>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</si>
  <si>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</si>
  <si>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</si>
  <si>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</si>
  <si>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</si>
  <si>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</si>
  <si>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</si>
  <si>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</si>
  <si>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</si>
  <si>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</si>
  <si>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</si>
  <si>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</si>
  <si>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</si>
  <si>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</si>
  <si>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</si>
  <si>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</si>
  <si>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</si>
  <si>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</si>
  <si>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</si>
  <si>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</si>
  <si>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</si>
  <si>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</si>
  <si>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</si>
  <si>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</si>
  <si>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</si>
  <si>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</si>
  <si>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</si>
  <si>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</si>
  <si>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</si>
  <si>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</si>
  <si>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</si>
  <si>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</si>
  <si>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</si>
  <si>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</si>
  <si>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</si>
  <si>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</si>
  <si>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</si>
  <si>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</si>
  <si>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</si>
  <si>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</si>
  <si>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</si>
  <si>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</si>
  <si>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</si>
  <si>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</si>
  <si>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</si>
  <si>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</si>
  <si>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</si>
  <si>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</si>
  <si>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</si>
  <si>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</si>
  <si>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</si>
  <si>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</si>
  <si>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</si>
  <si>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</si>
  <si>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</si>
  <si>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</si>
  <si>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</si>
  <si>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</si>
  <si>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</si>
  <si>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</si>
  <si>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</si>
  <si>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</si>
  <si>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</si>
  <si>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</si>
  <si>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</si>
  <si>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</si>
  <si>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</si>
  <si>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</si>
  <si>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</si>
  <si>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</si>
  <si>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</si>
  <si>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</si>
  <si>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</si>
  <si>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</si>
  <si>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</si>
  <si>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</si>
  <si>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</si>
  <si>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</si>
  <si>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</si>
  <si>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</si>
  <si>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</si>
  <si>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</si>
  <si>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</si>
  <si>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</si>
  <si>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</si>
  <si>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</si>
  <si>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</si>
  <si>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</si>
  <si>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</si>
  <si>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</si>
  <si>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</si>
  <si>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</si>
  <si>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</si>
  <si>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</si>
  <si>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</si>
  <si>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</si>
  <si>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</si>
  <si>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</si>
  <si>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</si>
  <si>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</si>
  <si>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</si>
  <si>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</si>
  <si>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</si>
  <si>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</si>
  <si>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</si>
  <si>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</si>
  <si>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</si>
  <si>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</si>
  <si>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</si>
  <si>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</si>
  <si>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</si>
  <si>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</si>
  <si>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</si>
  <si>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</si>
  <si>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</si>
  <si>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</si>
  <si>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</si>
  <si>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</si>
  <si>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</si>
  <si>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</si>
  <si>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</si>
  <si>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</si>
  <si>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</si>
  <si>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</si>
  <si>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</si>
  <si>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</si>
  <si>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</si>
  <si>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</si>
  <si>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</si>
  <si>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</si>
  <si>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</si>
  <si>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</si>
  <si>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</si>
  <si>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</si>
  <si>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</si>
  <si>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</si>
  <si>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</si>
  <si>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</si>
  <si>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</si>
  <si>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</si>
  <si>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</si>
  <si>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</si>
  <si>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</si>
  <si>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</si>
  <si>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</si>
  <si>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</si>
  <si>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</si>
  <si>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</si>
  <si>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</si>
  <si>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</si>
  <si>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</si>
  <si>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</si>
  <si>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</si>
  <si>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</si>
  <si>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</si>
  <si>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</si>
  <si>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</si>
  <si>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</si>
  <si>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</si>
  <si>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</si>
  <si>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</si>
  <si>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</si>
  <si>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</si>
  <si>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</si>
  <si>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</si>
  <si>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</si>
  <si>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</si>
  <si>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</si>
  <si>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</si>
  <si>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</si>
  <si>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</si>
  <si>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</si>
  <si>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</si>
  <si>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</si>
  <si>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</si>
  <si>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</si>
  <si>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</si>
  <si>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</si>
  <si>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</si>
  <si>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</si>
  <si>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</si>
  <si>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</si>
  <si>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</si>
  <si>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</si>
  <si>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</si>
  <si>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</si>
  <si>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</si>
  <si>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</si>
  <si>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</si>
  <si>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</si>
  <si>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</si>
  <si>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</si>
  <si>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</si>
  <si>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</si>
  <si>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</si>
  <si>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</si>
  <si>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</si>
  <si>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</si>
  <si>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</si>
  <si>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</si>
  <si>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</si>
  <si>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</si>
  <si>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</si>
  <si>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</si>
  <si>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</si>
  <si>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</si>
  <si>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</si>
  <si>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</si>
  <si>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</si>
  <si>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</si>
  <si>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</si>
  <si>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</si>
  <si>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</si>
  <si>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</si>
  <si>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</si>
  <si>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</si>
  <si>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</si>
  <si>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</si>
  <si>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</si>
  <si>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</si>
  <si>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</si>
  <si>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</si>
  <si>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</si>
  <si>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</si>
  <si>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</si>
  <si>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</si>
  <si>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</si>
  <si>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</si>
  <si>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</si>
  <si>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</si>
  <si>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</si>
  <si>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</si>
  <si>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</si>
  <si>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</si>
  <si>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</si>
  <si>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</si>
  <si>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</si>
  <si>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</si>
  <si>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</si>
  <si>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</si>
  <si>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</si>
  <si>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</si>
  <si>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</si>
  <si>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</si>
  <si>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</si>
  <si>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</si>
  <si>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</si>
  <si>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</si>
  <si>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</si>
  <si>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</si>
  <si>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</si>
  <si>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</si>
  <si>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</si>
  <si>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</si>
  <si>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</si>
  <si>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</si>
  <si>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</si>
  <si>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</si>
  <si>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</si>
  <si>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</si>
  <si>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</si>
  <si>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</si>
  <si>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</si>
  <si>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</si>
  <si>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</si>
  <si>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</si>
  <si>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</si>
  <si>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</si>
  <si>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</si>
  <si>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</si>
  <si>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</si>
  <si>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</si>
  <si>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</si>
  <si>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</si>
  <si>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</si>
  <si>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</si>
  <si>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</si>
  <si>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</si>
  <si>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</si>
  <si>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</si>
  <si>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</si>
  <si>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</si>
  <si>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</si>
  <si>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</si>
  <si>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</si>
  <si>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</si>
  <si>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</si>
  <si>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</si>
  <si>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</si>
  <si>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</si>
  <si>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</si>
  <si>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</si>
  <si>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</si>
  <si>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</si>
  <si>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</si>
  <si>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</si>
  <si>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</si>
  <si>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</si>
  <si>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</si>
  <si>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</si>
  <si>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</si>
  <si>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</si>
  <si>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</si>
  <si>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</si>
  <si>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</si>
  <si>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</si>
  <si>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</si>
  <si>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</si>
  <si>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</si>
  <si>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</si>
  <si>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</si>
  <si>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</si>
  <si>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</si>
  <si>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</si>
  <si>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</si>
  <si>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</si>
  <si>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</si>
  <si>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</si>
  <si>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</si>
  <si>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</si>
  <si>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</si>
  <si>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</si>
  <si>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</si>
  <si>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</si>
  <si>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</si>
  <si>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</si>
  <si>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</si>
  <si>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</si>
  <si>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</si>
  <si>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</si>
  <si>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</si>
  <si>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</si>
  <si>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</si>
  <si>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</si>
  <si>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</si>
  <si>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</si>
  <si>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</si>
  <si>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</si>
  <si>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</si>
  <si>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</si>
  <si>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</si>
  <si>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</si>
  <si>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</si>
  <si>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</si>
  <si>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</si>
  <si>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</si>
  <si>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</si>
  <si>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</si>
  <si>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</si>
  <si>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</si>
  <si>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</si>
  <si>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</si>
  <si>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</si>
  <si>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</si>
  <si>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</si>
  <si>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</si>
  <si>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</si>
  <si>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</si>
  <si>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</si>
  <si>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</si>
  <si>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</si>
  <si>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</si>
  <si>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</si>
  <si>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</si>
  <si>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</si>
  <si>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</si>
  <si>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</si>
  <si>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</si>
  <si>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</si>
  <si>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</si>
  <si>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</si>
  <si>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</si>
  <si>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</si>
  <si>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</si>
  <si>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</si>
  <si>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</si>
  <si>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</si>
  <si>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</si>
  <si>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</si>
  <si>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</si>
  <si>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</si>
  <si>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</si>
  <si>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</si>
  <si>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</si>
  <si>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</si>
  <si>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</si>
  <si>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</si>
  <si>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</si>
  <si>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</si>
  <si>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</si>
  <si>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</si>
  <si>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</si>
  <si>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</si>
  <si>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</si>
  <si>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</si>
  <si>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</si>
  <si>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</si>
  <si>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</si>
  <si>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</si>
  <si>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</si>
  <si>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</si>
  <si>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</si>
  <si>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</si>
  <si>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</si>
  <si>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</si>
  <si>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</si>
  <si>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</si>
  <si>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</si>
  <si>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</si>
  <si>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</si>
  <si>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</si>
  <si>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</si>
  <si>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</si>
  <si>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</si>
  <si>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</si>
  <si>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</si>
  <si>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</si>
  <si>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</si>
  <si>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</si>
  <si>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</si>
  <si>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</si>
  <si>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</si>
  <si>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</si>
  <si>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</si>
  <si>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</si>
  <si>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</si>
  <si>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</si>
  <si>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</si>
  <si>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</si>
  <si>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</si>
  <si>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</si>
  <si>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</si>
  <si>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</si>
  <si>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</si>
  <si>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</si>
  <si>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</si>
  <si>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</si>
  <si>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</si>
  <si>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</si>
  <si>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</si>
  <si>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</si>
  <si>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</si>
  <si>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</si>
  <si>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</si>
  <si>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</si>
  <si>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</si>
  <si>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</si>
  <si>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</si>
  <si>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</si>
  <si>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</si>
  <si>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</si>
  <si>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</si>
  <si>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</si>
  <si>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</si>
  <si>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</si>
  <si>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</si>
  <si>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</si>
  <si>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</si>
  <si>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</si>
  <si>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</si>
  <si>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</si>
  <si>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</si>
  <si>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</si>
  <si>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</si>
  <si>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</si>
  <si>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</si>
  <si>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</si>
  <si>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</si>
  <si>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</si>
  <si>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</si>
  <si>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</si>
  <si>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</si>
  <si>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</si>
  <si>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</si>
  <si>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</si>
  <si>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</si>
  <si>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</si>
  <si>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</si>
  <si>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</si>
  <si>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</si>
  <si>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</si>
  <si>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</si>
  <si>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</si>
  <si>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</si>
  <si>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</si>
  <si>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</si>
  <si>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</si>
  <si>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</si>
  <si>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</si>
  <si>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</si>
  <si>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</si>
  <si>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</si>
  <si>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</si>
  <si>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</si>
  <si>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</si>
  <si>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</si>
  <si>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</si>
  <si>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</si>
  <si>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</si>
  <si>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</si>
  <si>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</si>
  <si>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</si>
  <si>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</si>
  <si>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</si>
  <si>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</si>
  <si>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</si>
  <si>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</si>
  <si>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</si>
  <si>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</si>
  <si>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</si>
  <si>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</si>
  <si>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</si>
  <si>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</si>
  <si>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</si>
  <si>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</si>
  <si>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</si>
  <si>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</si>
  <si>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</si>
  <si>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</si>
  <si>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</si>
  <si>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</si>
  <si>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</si>
  <si>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</si>
  <si>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</si>
  <si>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</si>
  <si>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</si>
  <si>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</si>
  <si>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</si>
  <si>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</si>
  <si>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</si>
  <si>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</si>
  <si>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</si>
  <si>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</si>
  <si>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</si>
  <si>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</si>
  <si>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</si>
  <si>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</si>
  <si>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</si>
  <si>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</si>
  <si>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</si>
  <si>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</si>
  <si>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</si>
  <si>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</si>
  <si>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</si>
  <si>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</si>
  <si>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</si>
  <si>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</si>
  <si>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</si>
  <si>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</si>
  <si>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</si>
  <si>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</si>
  <si>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</si>
  <si>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</si>
  <si>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</si>
  <si>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</si>
  <si>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</si>
  <si>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</si>
  <si>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</si>
  <si>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</si>
  <si>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</si>
  <si>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</si>
  <si>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</si>
  <si>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</si>
  <si>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</si>
  <si>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</si>
  <si>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</si>
  <si>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</si>
  <si>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</si>
  <si>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</si>
  <si>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</si>
  <si>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</si>
  <si>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</si>
  <si>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</si>
  <si>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</si>
  <si>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</si>
  <si>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</si>
  <si>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</si>
  <si>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</si>
  <si>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</si>
  <si>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</si>
  <si>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</si>
  <si>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</si>
  <si>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</si>
  <si>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</si>
  <si>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</si>
  <si>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</si>
  <si>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</si>
  <si>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</si>
  <si>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</si>
  <si>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</si>
  <si>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</si>
  <si>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</si>
  <si>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</si>
  <si>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</si>
  <si>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</si>
  <si>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</si>
  <si>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</si>
  <si>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</si>
  <si>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</si>
  <si>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</si>
  <si>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</si>
  <si>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</si>
  <si>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</si>
  <si>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</si>
  <si>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</si>
  <si>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</si>
  <si>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</si>
  <si>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</si>
  <si>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</si>
  <si>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</si>
  <si>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</si>
  <si>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</si>
  <si>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</si>
  <si>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</si>
  <si>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</si>
  <si>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</si>
  <si>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</si>
  <si>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</si>
  <si>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</si>
  <si>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</si>
  <si>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</si>
  <si>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</si>
  <si>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</si>
  <si>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</si>
  <si>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</si>
  <si>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</si>
  <si>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</si>
  <si>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</si>
  <si>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</si>
  <si>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</si>
  <si>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</si>
  <si>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</si>
  <si>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</si>
  <si>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</si>
  <si>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</si>
  <si>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</si>
  <si>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</si>
  <si>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</si>
  <si>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</si>
  <si>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</si>
  <si>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</si>
  <si>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</si>
  <si>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</si>
  <si>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</si>
  <si>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</si>
  <si>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</si>
  <si>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</si>
  <si>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</si>
  <si>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</si>
  <si>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</si>
  <si>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</si>
  <si>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</si>
  <si>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</si>
  <si>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</si>
  <si>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</si>
  <si>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</si>
  <si>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</si>
  <si>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</si>
  <si>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</si>
  <si>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</si>
  <si>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</si>
  <si>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</si>
  <si>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</si>
  <si>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</si>
  <si>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</si>
  <si>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</si>
  <si>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</si>
  <si>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</si>
  <si>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</si>
  <si>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</si>
  <si>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</si>
  <si>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</si>
  <si>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</si>
  <si>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</si>
  <si>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</si>
  <si>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</si>
  <si>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</si>
  <si>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</si>
  <si>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</si>
  <si>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</si>
  <si>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</si>
  <si>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</si>
  <si>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</si>
  <si>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</si>
  <si>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</si>
  <si>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</si>
  <si>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</si>
  <si>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</si>
  <si>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</si>
  <si>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</si>
  <si>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</si>
  <si>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</si>
  <si>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</si>
  <si>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</si>
  <si>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</si>
  <si>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</si>
  <si>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</si>
  <si>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</si>
  <si>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</si>
  <si>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</si>
  <si>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</si>
  <si>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</si>
  <si>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</si>
  <si>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</si>
  <si>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</si>
  <si>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</si>
  <si>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</si>
  <si>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</si>
  <si>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</si>
  <si>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</si>
  <si>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</si>
  <si>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</si>
  <si>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</si>
  <si>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</si>
  <si>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</si>
  <si>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</si>
  <si>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</si>
  <si>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</si>
  <si>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</si>
  <si>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</si>
  <si>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</si>
  <si>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</si>
  <si>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</si>
  <si>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</si>
  <si>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</si>
  <si>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</si>
  <si>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</si>
  <si>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</si>
  <si>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</si>
  <si>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</si>
  <si>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</si>
  <si>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</si>
  <si>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</si>
  <si>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</si>
  <si>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</si>
  <si>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</si>
  <si>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</si>
  <si>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</si>
  <si>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</si>
  <si>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</si>
  <si>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</si>
  <si>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</si>
  <si>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</si>
  <si>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</si>
  <si>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</si>
  <si>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</si>
  <si>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</si>
  <si>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</si>
  <si>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</si>
  <si>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</si>
  <si>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</si>
  <si>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</si>
  <si>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</si>
  <si>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</si>
  <si>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</si>
  <si>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</si>
  <si>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</si>
  <si>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</si>
  <si>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</si>
  <si>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</si>
  <si>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</si>
  <si>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</si>
  <si>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</si>
  <si>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</si>
  <si>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</si>
  <si>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</si>
  <si>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</si>
  <si>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</si>
  <si>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</si>
  <si>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</si>
  <si>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</si>
  <si>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</si>
  <si>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</si>
  <si>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</si>
  <si>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</si>
  <si>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</si>
  <si>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</si>
  <si>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</si>
  <si>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</si>
  <si>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</si>
  <si>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</si>
  <si>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</si>
  <si>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</si>
  <si>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</si>
  <si>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</si>
  <si>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</si>
  <si>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</si>
  <si>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</si>
  <si>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</si>
  <si>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</si>
  <si>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</si>
  <si>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</si>
  <si>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</si>
  <si>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</si>
  <si>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</si>
  <si>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</si>
  <si>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</si>
  <si>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</si>
  <si>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</si>
  <si>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</si>
  <si>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</si>
  <si>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</si>
  <si>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</si>
  <si>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</si>
  <si>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</si>
  <si>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</si>
  <si>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</si>
  <si>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</si>
  <si>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</si>
  <si>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</si>
  <si>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</si>
  <si>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</si>
  <si>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</si>
  <si>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</si>
  <si>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</si>
  <si>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</si>
  <si>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</si>
  <si>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</si>
  <si>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</si>
  <si>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</si>
  <si>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</si>
  <si>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</si>
  <si>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</si>
  <si>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</si>
  <si>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</si>
  <si>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</si>
  <si>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</si>
  <si>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</si>
  <si>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</si>
  <si>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</si>
  <si>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</si>
  <si>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</si>
  <si>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</si>
  <si>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</si>
  <si>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</si>
  <si>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</si>
  <si>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</si>
  <si>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</si>
  <si>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</si>
  <si>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</si>
  <si>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</si>
  <si>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</si>
  <si>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</si>
  <si>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</si>
  <si>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</si>
  <si>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</si>
  <si>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</si>
  <si>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</si>
  <si>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</si>
  <si>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</si>
  <si>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</si>
  <si>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</si>
  <si>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</si>
  <si>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</si>
  <si>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</si>
  <si>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</si>
  <si>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</si>
  <si>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</si>
  <si>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</si>
  <si>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</si>
  <si>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</si>
  <si>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</si>
  <si>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</si>
  <si>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</si>
  <si>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</si>
  <si>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</si>
  <si>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</si>
  <si>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</si>
  <si>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</si>
  <si>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</si>
  <si>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</si>
  <si>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</si>
  <si>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</si>
  <si>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</si>
  <si>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</si>
  <si>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</si>
  <si>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</si>
  <si>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</si>
  <si>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</si>
  <si>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</si>
  <si>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</si>
  <si>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</si>
  <si>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</si>
  <si>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</si>
  <si>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</si>
  <si>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</si>
  <si>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</si>
  <si>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</si>
  <si>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</si>
  <si>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</si>
  <si>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</si>
  <si>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</si>
  <si>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</si>
  <si>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</si>
  <si>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</si>
  <si>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</si>
  <si>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</si>
  <si>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</si>
  <si>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</si>
  <si>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</si>
  <si>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</si>
  <si>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</si>
  <si>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</si>
  <si>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</si>
  <si>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</si>
  <si>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</si>
  <si>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</si>
  <si>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</si>
  <si>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</si>
  <si>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</si>
  <si>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</si>
  <si>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</si>
  <si>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</si>
  <si>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</si>
  <si>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</si>
  <si>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</si>
  <si>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</si>
  <si>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</si>
  <si>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</si>
  <si>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</si>
  <si>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</si>
  <si>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</si>
  <si>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</si>
  <si>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</si>
  <si>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</si>
  <si>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</si>
  <si>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</si>
  <si>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</si>
  <si>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</si>
  <si>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</si>
  <si>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</si>
  <si>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</si>
  <si>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</si>
  <si>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</si>
  <si>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</si>
  <si>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</si>
  <si>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</si>
  <si>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</si>
  <si>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</si>
  <si>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</si>
  <si>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</si>
  <si>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</si>
  <si>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</si>
  <si>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</si>
  <si>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</si>
  <si>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</si>
  <si>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</si>
  <si>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</si>
  <si>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</si>
  <si>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</si>
  <si>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</si>
  <si>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</si>
  <si>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</si>
  <si>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</si>
  <si>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</si>
  <si>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</si>
  <si>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</si>
  <si>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</si>
  <si>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</si>
  <si>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</si>
  <si>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</si>
  <si>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</si>
  <si>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</si>
  <si>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</si>
  <si>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</si>
  <si>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</si>
  <si>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</si>
  <si>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</si>
  <si>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</si>
  <si>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</si>
  <si>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</si>
  <si>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</si>
  <si>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</si>
  <si>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</si>
  <si>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</si>
  <si>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</si>
  <si>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</si>
  <si>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</si>
  <si>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</si>
  <si>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</si>
  <si>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</si>
  <si>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</si>
  <si>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</si>
  <si>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</si>
  <si>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</si>
  <si>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</si>
  <si>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</si>
  <si>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</si>
  <si>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</si>
  <si>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</si>
  <si>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</si>
  <si>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</si>
  <si>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</si>
  <si>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</si>
  <si>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</si>
  <si>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</si>
  <si>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</si>
  <si>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</si>
  <si>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</si>
  <si>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</si>
  <si>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</si>
  <si>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</si>
  <si>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</si>
  <si>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</si>
  <si>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</si>
  <si>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</si>
  <si>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</si>
  <si>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</si>
  <si>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</si>
  <si>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</si>
  <si>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</si>
  <si>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</si>
  <si>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</si>
  <si>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</si>
  <si>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</si>
  <si>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</si>
  <si>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</si>
  <si>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</si>
  <si>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</si>
  <si>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</si>
  <si>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</si>
  <si>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</si>
  <si>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</si>
  <si>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</si>
  <si>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</si>
  <si>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</si>
  <si>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</si>
  <si>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</si>
  <si>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</si>
  <si>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</si>
  <si>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</si>
  <si>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</si>
  <si>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</si>
  <si>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</si>
  <si>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</si>
  <si>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</si>
  <si>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</si>
  <si>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</si>
  <si>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</si>
  <si>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</si>
  <si>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</si>
  <si>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</si>
  <si>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</si>
  <si>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</si>
  <si>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</si>
  <si>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</si>
  <si>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</si>
  <si>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</si>
  <si>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</si>
  <si>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</si>
  <si>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</si>
  <si>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</si>
  <si>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</si>
  <si>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</si>
  <si>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</si>
  <si>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</si>
  <si>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</si>
  <si>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</si>
  <si>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</si>
  <si>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</si>
  <si>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</si>
  <si>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</si>
  <si>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</si>
  <si>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</si>
  <si>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</si>
  <si>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</si>
  <si>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</si>
  <si>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</si>
  <si>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</si>
  <si>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</si>
  <si>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</si>
  <si>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</si>
  <si>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</si>
  <si>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</si>
  <si>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</si>
  <si>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</si>
  <si>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</si>
  <si>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</si>
  <si>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</si>
  <si>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</si>
  <si>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</si>
  <si>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</si>
  <si>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</si>
  <si>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</si>
  <si>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</si>
  <si>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</si>
  <si>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</si>
  <si>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</si>
  <si>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</si>
  <si>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</si>
  <si>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</si>
  <si>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</si>
  <si>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</si>
  <si>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</si>
  <si>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</si>
  <si>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</si>
  <si>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</si>
  <si>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</si>
  <si>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</si>
  <si>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</si>
  <si>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</si>
  <si>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</si>
  <si>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</si>
  <si>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</si>
  <si>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</si>
  <si>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</si>
  <si>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</si>
  <si>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</si>
  <si>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</si>
  <si>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</si>
  <si>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</si>
  <si>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</si>
  <si>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</si>
  <si>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</si>
  <si>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</si>
  <si>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</si>
  <si>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</si>
  <si>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</si>
  <si>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</si>
  <si>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</si>
  <si>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</si>
  <si>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</si>
  <si>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</si>
  <si>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</si>
  <si>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</si>
  <si>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</si>
  <si>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</si>
  <si>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</si>
  <si>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</si>
  <si>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</si>
  <si>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</si>
  <si>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</si>
  <si>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</si>
  <si>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</si>
  <si>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</si>
  <si>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</si>
  <si>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</si>
  <si>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</si>
  <si>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</si>
  <si>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</si>
  <si>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</si>
  <si>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</si>
  <si>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</si>
  <si>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</si>
  <si>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</si>
  <si>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</si>
  <si>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</si>
  <si>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</si>
  <si>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</si>
  <si>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</si>
  <si>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</si>
  <si>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</si>
  <si>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</si>
  <si>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</si>
  <si>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</si>
  <si>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</si>
  <si>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</si>
  <si>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</si>
  <si>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</si>
  <si>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</si>
  <si>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</si>
  <si>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</si>
  <si>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</si>
  <si>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</si>
  <si>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</si>
  <si>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</si>
  <si>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</si>
  <si>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</si>
  <si>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</si>
  <si>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</si>
  <si>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</si>
  <si>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</si>
  <si>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</si>
  <si>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</si>
  <si>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</si>
  <si>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</si>
  <si>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</si>
  <si>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</si>
  <si>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</si>
  <si>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</si>
  <si>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</si>
  <si>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</si>
  <si>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</si>
  <si>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</si>
  <si>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</si>
  <si>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</si>
  <si>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</si>
  <si>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</si>
  <si>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</si>
  <si>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</si>
  <si>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</si>
  <si>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</si>
  <si>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</si>
  <si>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</si>
  <si>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</si>
  <si>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</si>
  <si>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</si>
  <si>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</si>
  <si>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</si>
  <si>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</si>
  <si>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</si>
  <si>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</si>
  <si>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</si>
  <si>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</si>
  <si>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</si>
  <si>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</si>
  <si>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</si>
  <si>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</si>
  <si>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</si>
  <si>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</si>
  <si>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</si>
  <si>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</si>
  <si>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</si>
  <si>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</si>
  <si>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</si>
  <si>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</si>
  <si>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</si>
  <si>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</si>
  <si>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</si>
  <si>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</si>
  <si>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</si>
  <si>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</si>
  <si>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</si>
  <si>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</si>
  <si>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</si>
  <si>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</si>
  <si>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</si>
  <si>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</si>
  <si>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</si>
  <si>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</si>
  <si>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</si>
  <si>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</si>
  <si>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</si>
  <si>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</si>
  <si>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</si>
  <si>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</si>
  <si>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</si>
  <si>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</si>
  <si>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</si>
  <si>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</si>
  <si>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</si>
  <si>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</si>
  <si>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</si>
  <si>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</si>
  <si>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</si>
  <si>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</si>
  <si>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</si>
  <si>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</si>
  <si>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</si>
  <si>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</si>
  <si>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</si>
  <si>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</si>
  <si>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</si>
  <si>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</si>
  <si>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</si>
  <si>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</si>
  <si>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</si>
  <si>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</si>
  <si>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</si>
  <si>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</si>
  <si>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</si>
  <si>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</si>
  <si>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</si>
  <si>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</si>
  <si>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</si>
  <si>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</si>
  <si>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</si>
  <si>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</si>
  <si>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</si>
  <si>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</si>
  <si>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</si>
  <si>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</si>
  <si>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</si>
  <si>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</si>
  <si>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</si>
  <si>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</si>
  <si>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</si>
  <si>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</si>
  <si>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</si>
  <si>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</si>
  <si>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</si>
  <si>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</si>
  <si>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</si>
  <si>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</si>
  <si>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</si>
  <si>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</si>
  <si>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</si>
  <si>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</si>
  <si>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</si>
  <si>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</si>
  <si>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</si>
  <si>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</si>
  <si>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</si>
  <si>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</si>
  <si>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</si>
  <si>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</si>
  <si>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</si>
  <si>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</si>
  <si>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</si>
  <si>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</si>
  <si>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</si>
  <si>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</si>
  <si>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</si>
  <si>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</si>
  <si>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</si>
  <si>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</si>
  <si>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</si>
  <si>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</si>
  <si>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</si>
  <si>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</si>
  <si>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</si>
  <si>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</si>
  <si>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</si>
  <si>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</si>
  <si>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</si>
  <si>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</si>
  <si>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</si>
  <si>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</si>
  <si>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</si>
  <si>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</si>
  <si>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</si>
  <si>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</si>
  <si>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</si>
  <si>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</si>
  <si>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</si>
  <si>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</si>
  <si>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</si>
  <si>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</si>
  <si>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</si>
  <si>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</si>
  <si>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</si>
  <si>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</si>
  <si>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</si>
  <si>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</si>
  <si>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</si>
  <si>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</si>
  <si>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</si>
  <si>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</si>
  <si>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</si>
  <si>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</si>
  <si>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</si>
  <si>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</si>
  <si>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</si>
  <si>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</si>
  <si>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</si>
  <si>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</si>
  <si>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</si>
  <si>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</si>
  <si>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</si>
  <si>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</si>
  <si>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</si>
  <si>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</si>
  <si>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</si>
  <si>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</si>
  <si>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</si>
  <si>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</si>
  <si>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</si>
  <si>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</si>
  <si>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</si>
  <si>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</si>
  <si>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</si>
  <si>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</si>
  <si>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</si>
  <si>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</si>
  <si>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</si>
  <si>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</si>
  <si>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</si>
  <si>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</si>
  <si>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</si>
  <si>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</si>
  <si>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</si>
  <si>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</si>
  <si>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</si>
  <si>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</si>
  <si>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</si>
  <si>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</si>
  <si>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</si>
  <si>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</si>
  <si>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</si>
  <si>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</si>
  <si>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</si>
  <si>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</si>
  <si>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</si>
  <si>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</si>
  <si>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</si>
  <si>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</si>
  <si>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</si>
  <si>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</si>
  <si>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</si>
  <si>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</si>
  <si>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</si>
  <si>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</si>
  <si>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</si>
  <si>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</si>
  <si>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</si>
  <si>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</si>
  <si>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</si>
  <si>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</si>
  <si>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</si>
  <si>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</si>
  <si>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</si>
  <si>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</si>
  <si>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</si>
  <si>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</si>
  <si>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</si>
  <si>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</si>
  <si>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</si>
  <si>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</si>
  <si>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</si>
  <si>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</si>
  <si>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</si>
  <si>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</si>
  <si>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</si>
  <si>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</si>
  <si>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</si>
  <si>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</si>
  <si>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</si>
  <si>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</si>
  <si>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</si>
  <si>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</si>
  <si>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</si>
  <si>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</si>
  <si>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</si>
  <si>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</si>
  <si>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</si>
  <si>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</si>
  <si>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</si>
  <si>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</si>
  <si>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</si>
  <si>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</si>
  <si>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</si>
  <si>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</si>
  <si>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</si>
  <si>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</si>
  <si>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</si>
  <si>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</si>
  <si>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</si>
  <si>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</si>
  <si>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</si>
  <si>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</si>
  <si>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</si>
  <si>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</si>
  <si>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</si>
  <si>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</si>
  <si>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</si>
  <si>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</si>
  <si>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</si>
  <si>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</si>
  <si>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</si>
  <si>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</si>
  <si>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</si>
  <si>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</si>
  <si>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</si>
  <si>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</si>
  <si>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</si>
  <si>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</si>
  <si>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</si>
  <si>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</si>
  <si>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</si>
  <si>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</si>
  <si>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</si>
  <si>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</si>
  <si>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</si>
  <si>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</si>
  <si>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</si>
  <si>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</si>
  <si>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</si>
  <si>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</si>
  <si>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</si>
  <si>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</si>
  <si>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</si>
  <si>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</si>
  <si>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</si>
  <si>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</si>
  <si>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</si>
  <si>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</si>
  <si>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</si>
  <si>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</si>
  <si>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</si>
  <si>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</si>
  <si>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</si>
  <si>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</si>
  <si>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</si>
  <si>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</si>
  <si>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</si>
  <si>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</si>
  <si>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</si>
  <si>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</si>
  <si>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</si>
  <si>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</si>
  <si>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</si>
  <si>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</si>
  <si>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</si>
  <si>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</si>
  <si>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</si>
  <si>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</si>
  <si>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</si>
  <si>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</si>
  <si>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</si>
  <si>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</si>
  <si>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</si>
  <si>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</si>
  <si>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</si>
  <si>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</si>
  <si>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</si>
  <si>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</si>
  <si>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</si>
  <si>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</si>
  <si>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</si>
  <si>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</si>
  <si>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</si>
  <si>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</si>
  <si>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</si>
  <si>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</si>
  <si>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</si>
  <si>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</si>
  <si>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</si>
  <si>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</si>
  <si>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</si>
  <si>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</si>
  <si>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</si>
  <si>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</si>
  <si>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</si>
  <si>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</si>
  <si>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</si>
  <si>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</si>
  <si>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</si>
  <si>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</si>
  <si>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</si>
  <si>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</si>
  <si>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</si>
  <si>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</si>
  <si>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</si>
  <si>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</si>
  <si>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</si>
  <si>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</si>
  <si>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</si>
  <si>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</si>
  <si>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</si>
  <si>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</si>
  <si>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</si>
  <si>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</si>
  <si>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</si>
  <si>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</si>
  <si>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</si>
  <si>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</si>
  <si>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</si>
  <si>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</si>
  <si>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</si>
  <si>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</si>
  <si>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</si>
  <si>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</si>
  <si>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</si>
  <si>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</si>
  <si>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</si>
  <si>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</si>
  <si>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</si>
  <si>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</si>
  <si>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</si>
  <si>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</si>
  <si>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</si>
  <si>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</si>
  <si>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</si>
  <si>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</si>
  <si>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</si>
  <si>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</si>
  <si>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</si>
  <si>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</si>
  <si>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</si>
  <si>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</si>
  <si>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</si>
  <si>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</si>
  <si>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</si>
  <si>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</si>
  <si>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</si>
  <si>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</si>
  <si>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</si>
  <si>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</si>
  <si>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</si>
  <si>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</si>
  <si>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</si>
  <si>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</si>
  <si>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</si>
  <si>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</si>
  <si>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</si>
  <si>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</si>
  <si>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</si>
  <si>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</si>
  <si>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</si>
  <si>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</si>
  <si>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</si>
  <si>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</si>
  <si>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</si>
  <si>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</si>
  <si>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</si>
  <si>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</si>
  <si>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</si>
  <si>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</si>
  <si>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</si>
  <si>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</si>
  <si>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</si>
  <si>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</si>
  <si>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</si>
  <si>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</si>
  <si>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</si>
  <si>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</si>
  <si>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</si>
  <si>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</si>
  <si>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</si>
  <si>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</si>
  <si>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</si>
  <si>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</si>
  <si>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</si>
  <si>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</si>
  <si>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</si>
  <si>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</si>
  <si>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</si>
  <si>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</si>
  <si>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</si>
  <si>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</si>
  <si>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</si>
  <si>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</si>
  <si>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</si>
  <si>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</si>
  <si>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</si>
  <si>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</si>
  <si>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</si>
  <si>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</si>
  <si>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</si>
  <si>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</si>
  <si>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</si>
  <si>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</si>
  <si>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</si>
  <si>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</si>
  <si>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</si>
  <si>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</si>
  <si>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</si>
  <si>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</si>
  <si>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</si>
  <si>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</si>
  <si>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</si>
  <si>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</si>
  <si>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</si>
  <si>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</si>
  <si>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</si>
  <si>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</si>
  <si>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</si>
  <si>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</si>
  <si>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</si>
  <si>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</si>
  <si>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</si>
  <si>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</si>
  <si>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</si>
  <si>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</si>
  <si>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</si>
  <si>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</si>
  <si>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</si>
  <si>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</si>
  <si>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</si>
  <si>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</si>
  <si>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</si>
  <si>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</si>
  <si>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</si>
  <si>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</si>
  <si>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</si>
  <si>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</si>
  <si>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</si>
  <si>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</si>
  <si>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</si>
  <si>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</si>
  <si>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</si>
  <si>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</si>
  <si>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</si>
  <si>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</si>
  <si>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</si>
  <si>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</si>
  <si>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</si>
  <si>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</si>
  <si>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</si>
  <si>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</si>
  <si>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</si>
  <si>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</si>
  <si>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</si>
  <si>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</si>
  <si>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</si>
  <si>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</si>
  <si>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</si>
  <si>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</si>
  <si>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</si>
  <si>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</si>
  <si>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</si>
  <si>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</si>
  <si>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</si>
  <si>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</si>
  <si>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</si>
  <si>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</si>
  <si>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</si>
  <si>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</si>
  <si>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</si>
  <si>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</si>
  <si>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</si>
  <si>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</si>
  <si>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</si>
  <si>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</si>
  <si>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</si>
  <si>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</si>
  <si>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</si>
  <si>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</si>
  <si>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</si>
  <si>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</si>
  <si>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</si>
  <si>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</si>
  <si>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</si>
  <si>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</si>
  <si>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</si>
  <si>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</si>
  <si>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</si>
  <si>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</si>
  <si>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</si>
  <si>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</si>
  <si>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</si>
  <si>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</si>
  <si>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</si>
  <si>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</si>
  <si>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</si>
  <si>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</si>
  <si>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</si>
  <si>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</si>
  <si>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</si>
  <si>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</si>
  <si>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</si>
  <si>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</si>
  <si>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</si>
  <si>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</si>
  <si>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</si>
  <si>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</si>
  <si>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</si>
  <si>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</si>
  <si>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</si>
  <si>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</si>
  <si>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</si>
  <si>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</si>
  <si>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</si>
  <si>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</si>
  <si>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</si>
  <si>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</si>
  <si>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</si>
  <si>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</si>
  <si>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</si>
  <si>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</si>
  <si>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</si>
  <si>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</si>
  <si>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</si>
  <si>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</si>
  <si>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</si>
  <si>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</si>
  <si>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</si>
  <si>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</si>
  <si>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</si>
  <si>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</si>
  <si>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</si>
  <si>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</si>
  <si>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</si>
  <si>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</si>
  <si>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</si>
  <si>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</si>
  <si>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</si>
  <si>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</si>
  <si>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</si>
  <si>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</si>
  <si>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</si>
  <si>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</si>
  <si>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</si>
  <si>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</si>
  <si>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</si>
  <si>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</si>
  <si>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</si>
  <si>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</si>
  <si>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</si>
  <si>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</si>
  <si>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</si>
  <si>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</si>
  <si>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</si>
  <si>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</si>
  <si>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</si>
  <si>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</si>
  <si>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</si>
  <si>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</si>
  <si>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</si>
  <si>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</si>
  <si>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</si>
  <si>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</si>
  <si>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</si>
  <si>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</si>
  <si>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</si>
  <si>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</si>
  <si>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</si>
  <si>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</si>
  <si>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</si>
  <si>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</si>
  <si>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</si>
  <si>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</si>
  <si>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</si>
  <si>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</si>
  <si>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</si>
  <si>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</si>
  <si>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</si>
  <si>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</si>
  <si>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</si>
  <si>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</si>
  <si>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</si>
  <si>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</si>
  <si>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</si>
  <si>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</si>
  <si>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</si>
  <si>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</si>
  <si>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</si>
  <si>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</si>
  <si>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</si>
  <si>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</si>
  <si>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</si>
  <si>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</si>
  <si>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</si>
  <si>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</si>
  <si>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</si>
  <si>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</si>
  <si>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</si>
  <si>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</si>
  <si>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</si>
  <si>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</si>
  <si>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</si>
  <si>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</si>
  <si>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</si>
  <si>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</si>
  <si>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</si>
  <si>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</si>
  <si>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</si>
  <si>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</si>
  <si>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</si>
  <si>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</si>
  <si>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</si>
  <si>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</si>
  <si>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</si>
  <si>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</si>
  <si>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</si>
  <si>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</si>
  <si>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</si>
  <si>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</si>
  <si>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</si>
  <si>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</si>
  <si>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</si>
  <si>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</si>
  <si>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</si>
  <si>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</si>
  <si>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</si>
  <si>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</si>
  <si>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</si>
  <si>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</si>
  <si>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</si>
  <si>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</si>
  <si>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</si>
  <si>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</si>
  <si>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</si>
  <si>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</si>
  <si>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</si>
  <si>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</si>
  <si>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</si>
  <si>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</si>
  <si>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</si>
  <si>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</si>
  <si>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</si>
  <si>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</si>
  <si>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</si>
  <si>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</si>
  <si>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</si>
  <si>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</si>
  <si>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</si>
  <si>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</si>
  <si>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</si>
  <si>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</si>
  <si>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</si>
  <si>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</si>
  <si>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</si>
  <si>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</si>
  <si>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</si>
  <si>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</si>
  <si>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</si>
  <si>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</si>
  <si>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</si>
  <si>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</si>
  <si>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</si>
  <si>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</si>
  <si>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</si>
  <si>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</si>
  <si>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</si>
  <si>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</si>
  <si>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</si>
  <si>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</si>
  <si>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</si>
  <si>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</si>
  <si>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</si>
  <si>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</si>
  <si>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</si>
  <si>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</si>
  <si>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</si>
  <si>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</si>
  <si>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</si>
  <si>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</si>
  <si>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</si>
  <si>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</si>
  <si>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</si>
  <si>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</si>
  <si>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</si>
  <si>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</si>
  <si>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</si>
  <si>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</si>
  <si>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</si>
  <si>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</si>
  <si>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</si>
  <si>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</si>
  <si>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</si>
  <si>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</si>
  <si>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</si>
  <si>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</si>
  <si>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</si>
  <si>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</si>
  <si>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</si>
  <si>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</si>
  <si>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</si>
  <si>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</si>
  <si>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</si>
  <si>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</si>
  <si>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</si>
  <si>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</si>
  <si>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</si>
  <si>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</si>
  <si>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</si>
  <si>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</si>
  <si>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</si>
  <si>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</si>
  <si>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</si>
  <si>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</si>
  <si>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</si>
  <si>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</si>
  <si>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</si>
  <si>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</si>
  <si>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</si>
  <si>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</si>
  <si>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</si>
  <si>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</si>
  <si>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</si>
  <si>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</si>
  <si>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</si>
  <si>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</si>
  <si>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</si>
  <si>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</si>
  <si>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</si>
  <si>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</si>
  <si>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</si>
  <si>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</si>
  <si>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</si>
  <si>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</si>
  <si>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</si>
  <si>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</si>
  <si>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</si>
  <si>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</si>
  <si>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</si>
  <si>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</si>
  <si>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</si>
  <si>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</si>
  <si>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</si>
  <si>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</si>
  <si>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</si>
  <si>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</si>
  <si>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</si>
  <si>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</si>
  <si>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</si>
  <si>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</si>
  <si>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</si>
  <si>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</si>
  <si>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</si>
  <si>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</si>
  <si>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</si>
  <si>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</si>
  <si>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</si>
  <si>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</si>
  <si>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</si>
  <si>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</si>
  <si>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</si>
  <si>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</si>
  <si>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</si>
  <si>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</si>
  <si>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</si>
  <si>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</si>
  <si>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</si>
  <si>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</si>
  <si>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</si>
  <si>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</si>
  <si>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</si>
  <si>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</si>
  <si>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</si>
  <si>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</si>
  <si>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</si>
  <si>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</si>
  <si>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</si>
  <si>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</si>
  <si>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</si>
  <si>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</si>
  <si>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</si>
  <si>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</si>
  <si>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</si>
  <si>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</si>
  <si>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</si>
  <si>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</si>
  <si>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</si>
  <si>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</si>
  <si>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</si>
  <si>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</si>
  <si>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</si>
  <si>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</si>
  <si>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</si>
  <si>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</si>
  <si>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</si>
  <si>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</si>
  <si>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</si>
  <si>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</si>
  <si>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</si>
  <si>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</si>
  <si>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</si>
  <si>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</si>
  <si>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</si>
  <si>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</si>
  <si>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</si>
  <si>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</si>
  <si>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</si>
  <si>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</si>
  <si>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</si>
  <si>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</si>
  <si>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</si>
  <si>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</si>
  <si>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</si>
  <si>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</si>
  <si>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</si>
  <si>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</si>
  <si>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</si>
  <si>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</si>
  <si>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</si>
  <si>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</si>
  <si>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</si>
  <si>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</si>
  <si>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</si>
  <si>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</si>
  <si>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</si>
  <si>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</si>
  <si>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</si>
  <si>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</si>
  <si>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</si>
  <si>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</si>
  <si>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</si>
  <si>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</si>
  <si>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</si>
  <si>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</si>
  <si>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</si>
  <si>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</si>
  <si>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</si>
  <si>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</si>
  <si>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</si>
  <si>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</si>
  <si>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</si>
  <si>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</si>
  <si>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</si>
  <si>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</si>
  <si>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</si>
  <si>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</si>
  <si>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</si>
  <si>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</si>
  <si>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</si>
  <si>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</si>
  <si>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</si>
  <si>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</si>
  <si>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</si>
  <si>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</si>
  <si>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</si>
  <si>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</si>
  <si>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</si>
  <si>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</si>
  <si>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</si>
  <si>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</si>
  <si>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</si>
  <si>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</si>
  <si>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</si>
  <si>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</si>
  <si>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</si>
  <si>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</si>
  <si>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</si>
  <si>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</si>
  <si>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</si>
  <si>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</si>
  <si>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</si>
  <si>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</si>
  <si>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</si>
  <si>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</si>
  <si>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</si>
  <si>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</si>
  <si>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</si>
  <si>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</si>
  <si>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</si>
  <si>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</si>
  <si>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</si>
  <si>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</si>
  <si>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</si>
  <si>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</si>
  <si>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</si>
  <si>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</si>
  <si>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</si>
  <si>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</si>
  <si>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</si>
  <si>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</si>
  <si>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</si>
  <si>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</si>
  <si>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</si>
  <si>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</si>
  <si>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</si>
  <si>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</si>
  <si>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</si>
  <si>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</si>
  <si>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</si>
  <si>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</si>
  <si>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</si>
  <si>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</si>
  <si>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</si>
  <si>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</si>
  <si>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</si>
  <si>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</si>
  <si>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</si>
  <si>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</si>
  <si>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</si>
  <si>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</si>
  <si>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</si>
  <si>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</si>
  <si>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</si>
  <si>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</si>
  <si>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</si>
  <si>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</si>
  <si>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</si>
  <si>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</si>
  <si>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</si>
  <si>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</si>
  <si>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</si>
  <si>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</si>
  <si>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</si>
  <si>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</si>
  <si>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</si>
  <si>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</si>
  <si>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</si>
  <si>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</si>
  <si>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</si>
  <si>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</si>
  <si>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</si>
  <si>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</si>
  <si>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</si>
  <si>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</si>
  <si>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</si>
  <si>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</si>
  <si>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</si>
  <si>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</si>
  <si>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</si>
  <si>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</si>
  <si>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</si>
  <si>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</si>
  <si>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</si>
  <si>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</si>
  <si>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</si>
  <si>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</si>
  <si>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</si>
  <si>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</si>
  <si>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</si>
  <si>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</si>
  <si>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</si>
  <si>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</si>
  <si>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</si>
  <si>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</si>
  <si>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</si>
  <si>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</si>
  <si>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</si>
  <si>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</si>
  <si>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</si>
  <si>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</si>
  <si>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</si>
  <si>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</si>
  <si>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</si>
  <si>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</si>
  <si>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</si>
  <si>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</si>
  <si>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</si>
  <si>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</si>
  <si>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</si>
  <si>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</si>
  <si>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</si>
  <si>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</si>
  <si>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</si>
  <si>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</si>
  <si>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</si>
  <si>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</si>
  <si>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</si>
  <si>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</si>
  <si>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</si>
  <si>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</si>
  <si>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</si>
  <si>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</si>
  <si>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</si>
  <si>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</si>
  <si>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</si>
  <si>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</si>
  <si>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</si>
  <si>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</si>
  <si>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</si>
  <si>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</si>
  <si>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</si>
  <si>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</si>
  <si>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</si>
  <si>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</si>
  <si>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</si>
  <si>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</si>
  <si>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</si>
  <si>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</si>
  <si>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</si>
  <si>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</si>
  <si>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</si>
  <si>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</si>
  <si>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</si>
  <si>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</si>
  <si>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</si>
  <si>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</si>
  <si>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</si>
  <si>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</si>
  <si>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</si>
  <si>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</si>
  <si>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</si>
  <si>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</si>
  <si>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</si>
  <si>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</si>
  <si>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</si>
  <si>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</si>
  <si>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</si>
  <si>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</si>
  <si>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</si>
  <si>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</si>
  <si>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</si>
  <si>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</si>
  <si>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</si>
  <si>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</si>
  <si>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</si>
  <si>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</si>
  <si>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</si>
  <si>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</si>
  <si>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</si>
  <si>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</si>
  <si>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</si>
  <si>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</si>
  <si>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</si>
  <si>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</si>
  <si>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</si>
  <si>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</si>
  <si>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</si>
  <si>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</si>
  <si>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</si>
  <si>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</si>
  <si>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</si>
  <si>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</si>
  <si>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</si>
  <si>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</si>
  <si>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</si>
  <si>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</si>
  <si>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</si>
  <si>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</si>
  <si>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</si>
  <si>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</si>
  <si>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</si>
  <si>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</si>
  <si>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</si>
  <si>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</si>
  <si>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</si>
  <si>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</si>
  <si>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</si>
  <si>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</si>
  <si>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</si>
  <si>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</si>
  <si>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</si>
  <si>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</si>
  <si>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</si>
  <si>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</si>
  <si>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</si>
  <si>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</si>
  <si>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</si>
  <si>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</si>
  <si>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</si>
  <si>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</si>
  <si>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</si>
  <si>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</si>
  <si>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</si>
  <si>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</si>
  <si>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</si>
  <si>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</si>
  <si>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</si>
  <si>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</si>
  <si>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</si>
  <si>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</si>
  <si>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</si>
  <si>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</si>
  <si>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</si>
  <si>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</si>
  <si>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</si>
  <si>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</si>
  <si>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</si>
  <si>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</si>
  <si>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</si>
  <si>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</si>
  <si>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</si>
  <si>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</si>
  <si>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</si>
  <si>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</si>
  <si>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</si>
  <si>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</si>
  <si>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</si>
  <si>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</si>
  <si>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</si>
  <si>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</si>
  <si>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</si>
  <si>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</si>
  <si>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</si>
  <si>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</si>
  <si>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</si>
  <si>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</si>
  <si>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</si>
  <si>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</si>
  <si>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</si>
  <si>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</si>
  <si>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</si>
  <si>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</si>
  <si>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</si>
  <si>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</si>
  <si>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</si>
  <si>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</si>
  <si>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</si>
  <si>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</si>
  <si>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</si>
  <si>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</si>
  <si>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</si>
  <si>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</si>
  <si>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</si>
  <si>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</si>
  <si>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</si>
  <si>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</si>
  <si>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</si>
  <si>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</si>
  <si>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</si>
  <si>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</si>
  <si>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</si>
  <si>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</si>
  <si>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</si>
  <si>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</si>
  <si>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</si>
  <si>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</si>
  <si>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</si>
  <si>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</si>
  <si>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</si>
  <si>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</si>
  <si>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</si>
  <si>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</si>
  <si>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</si>
  <si>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</si>
  <si>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</si>
  <si>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</si>
  <si>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</si>
  <si>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</si>
  <si>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</si>
  <si>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</si>
  <si>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</si>
  <si>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</si>
  <si>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</si>
  <si>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</si>
  <si>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</si>
  <si>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</si>
  <si>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</si>
  <si>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</si>
  <si>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</si>
  <si>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</si>
  <si>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</si>
  <si>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</si>
  <si>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</si>
  <si>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</si>
  <si>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</si>
  <si>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</si>
  <si>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</si>
  <si>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</si>
  <si>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</si>
  <si>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</si>
  <si>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</si>
  <si>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</si>
  <si>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</si>
  <si>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</si>
  <si>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</si>
  <si>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</si>
  <si>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</si>
  <si>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</si>
  <si>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</si>
  <si>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</si>
  <si>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</si>
  <si>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</si>
  <si>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</si>
  <si>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</si>
  <si>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</si>
  <si>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</si>
  <si>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</si>
  <si>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</si>
  <si>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</si>
  <si>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</si>
  <si>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</si>
  <si>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</si>
  <si>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</si>
  <si>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</si>
  <si>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</si>
  <si>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</si>
  <si>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</si>
  <si>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</si>
  <si>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</si>
  <si>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</si>
  <si>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</si>
  <si>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</si>
  <si>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</si>
  <si>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</si>
  <si>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</si>
  <si>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</si>
  <si>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</si>
  <si>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</si>
  <si>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</si>
  <si>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</si>
  <si>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</si>
  <si>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</si>
  <si>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</si>
  <si>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</si>
  <si>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</si>
  <si>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</si>
  <si>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</si>
  <si>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</si>
  <si>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</si>
  <si>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</si>
  <si>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</si>
  <si>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</si>
  <si>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</si>
  <si>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</si>
  <si>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</si>
  <si>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</si>
  <si>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</si>
  <si>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</si>
  <si>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</si>
  <si>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</si>
  <si>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</si>
  <si>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</si>
  <si>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</si>
  <si>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</si>
  <si>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</si>
  <si>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</si>
  <si>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</si>
  <si>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</si>
  <si>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</si>
  <si>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</si>
  <si>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</si>
  <si>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</si>
  <si>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</si>
  <si>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</si>
  <si>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</si>
  <si>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</si>
  <si>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</si>
  <si>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</si>
  <si>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</si>
  <si>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</si>
  <si>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</si>
  <si>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</si>
  <si>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</si>
  <si>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</si>
  <si>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</si>
  <si>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</si>
  <si>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</si>
  <si>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</si>
  <si>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</si>
  <si>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</si>
  <si>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</si>
  <si>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</si>
  <si>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</si>
  <si>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</si>
  <si>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</si>
  <si>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</si>
  <si>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</si>
  <si>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</si>
  <si>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</si>
  <si>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</si>
  <si>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</si>
  <si>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</si>
  <si>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</si>
  <si>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</si>
  <si>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</si>
  <si>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</si>
  <si>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</si>
  <si>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</si>
  <si>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</si>
  <si>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</si>
  <si>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</si>
  <si>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</si>
  <si>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</si>
  <si>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</si>
  <si>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</si>
  <si>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</si>
  <si>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</si>
  <si>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</si>
  <si>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</si>
  <si>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</si>
  <si>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</si>
  <si>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</si>
  <si>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</si>
  <si>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</si>
  <si>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</si>
  <si>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</si>
  <si>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</si>
  <si>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</si>
  <si>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</si>
  <si>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</si>
  <si>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</si>
  <si>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</si>
  <si>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</si>
  <si>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</si>
  <si>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</si>
  <si>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</si>
  <si>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</si>
  <si>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</si>
  <si>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</si>
  <si>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</si>
  <si>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</si>
  <si>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</si>
  <si>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</si>
  <si>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</si>
  <si>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</si>
  <si>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</si>
  <si>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</si>
  <si>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</si>
  <si>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</si>
  <si>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</si>
  <si>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</si>
  <si>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</si>
  <si>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</si>
  <si>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</si>
  <si>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</si>
  <si>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</si>
  <si>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</si>
  <si>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</si>
  <si>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</si>
  <si>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</si>
  <si>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</si>
  <si>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</si>
  <si>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</si>
  <si>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</si>
  <si>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</si>
  <si>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</si>
  <si>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</si>
  <si>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</si>
  <si>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</si>
  <si>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</si>
  <si>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</si>
  <si>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</si>
  <si>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</si>
  <si>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</si>
  <si>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</si>
  <si>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</si>
  <si>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</si>
  <si>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</si>
  <si>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</si>
  <si>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</si>
  <si>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</si>
  <si>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</si>
  <si>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</si>
  <si>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</si>
  <si>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</si>
  <si>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</si>
  <si>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</si>
  <si>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</si>
  <si>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</si>
  <si>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</si>
  <si>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</si>
  <si>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</si>
  <si>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</si>
  <si>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</si>
  <si>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</si>
  <si>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</si>
  <si>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</si>
  <si>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</si>
  <si>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</si>
  <si>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</si>
  <si>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</si>
  <si>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</si>
  <si>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</si>
  <si>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</si>
  <si>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</si>
  <si>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</si>
  <si>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</si>
  <si>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</si>
  <si>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</si>
  <si>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</si>
  <si>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</si>
  <si>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</si>
  <si>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</si>
  <si>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</si>
  <si>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</si>
  <si>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</si>
  <si>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</si>
  <si>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</si>
  <si>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</si>
  <si>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</si>
  <si>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</si>
  <si>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</si>
  <si>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</si>
  <si>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</si>
  <si>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</si>
  <si>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</si>
  <si>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</si>
  <si>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</si>
  <si>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</si>
  <si>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</si>
  <si>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</si>
  <si>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</si>
  <si>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</si>
  <si>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</si>
  <si>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</si>
  <si>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</si>
  <si>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</si>
  <si>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</si>
  <si>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</si>
  <si>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</si>
  <si>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</si>
  <si>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</si>
  <si>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</si>
  <si>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</si>
  <si>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</si>
  <si>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</si>
  <si>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</si>
  <si>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</si>
  <si>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</si>
  <si>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</si>
  <si>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</si>
  <si>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</si>
  <si>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</si>
  <si>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</si>
  <si>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</si>
  <si>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</si>
  <si>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</si>
  <si>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</si>
  <si>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</si>
  <si>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</si>
  <si>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</si>
  <si>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</si>
  <si>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</si>
  <si>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</si>
  <si>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</si>
  <si>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</si>
  <si>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</si>
  <si>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</si>
  <si>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</si>
  <si>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</si>
  <si>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</si>
  <si>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</si>
  <si>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</si>
  <si>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</si>
  <si>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</si>
  <si>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</si>
  <si>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</si>
  <si>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</si>
  <si>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</si>
  <si>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</si>
  <si>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</si>
  <si>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</si>
  <si>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</si>
  <si>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</si>
  <si>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</si>
  <si>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</si>
  <si>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</si>
  <si>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</si>
  <si>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</si>
  <si>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</si>
  <si>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</si>
  <si>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</si>
  <si>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</si>
  <si>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</si>
  <si>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</si>
  <si>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</si>
  <si>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</si>
  <si>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</si>
  <si>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</si>
  <si>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</si>
  <si>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</si>
  <si>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</si>
  <si>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</si>
  <si>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</si>
  <si>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</si>
  <si>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</si>
  <si>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</si>
  <si>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</si>
  <si>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</si>
  <si>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</si>
  <si>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</si>
  <si>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</si>
  <si>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</si>
  <si>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</si>
  <si>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</si>
  <si>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</si>
  <si>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</si>
  <si>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</si>
  <si>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</si>
  <si>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</si>
  <si>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</si>
  <si>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</si>
  <si>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</si>
  <si>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</si>
  <si>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</si>
  <si>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</si>
  <si>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</si>
  <si>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</si>
  <si>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</si>
  <si>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</si>
  <si>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</si>
  <si>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</si>
  <si>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</si>
  <si>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</si>
  <si>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</si>
  <si>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</si>
  <si>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</si>
  <si>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</si>
  <si>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</si>
  <si>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</si>
  <si>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</si>
  <si>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</si>
  <si>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</si>
  <si>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</si>
  <si>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</si>
  <si>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</si>
  <si>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</si>
  <si>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</si>
  <si>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</si>
  <si>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</si>
  <si>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</si>
  <si>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</si>
  <si>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</si>
  <si>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</si>
  <si>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</si>
  <si>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</si>
  <si>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</si>
  <si>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</si>
  <si>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</si>
  <si>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</si>
  <si>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</si>
  <si>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</si>
  <si>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</si>
  <si>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</si>
  <si>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</si>
  <si>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</si>
  <si>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</si>
  <si>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</si>
  <si>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</si>
  <si>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</si>
  <si>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</si>
  <si>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</si>
  <si>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</si>
  <si>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</si>
  <si>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</si>
  <si>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</si>
  <si>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</si>
  <si>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</si>
  <si>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</si>
  <si>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</si>
  <si>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</si>
  <si>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</si>
  <si>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</si>
  <si>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</si>
  <si>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</si>
  <si>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</si>
  <si>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</si>
  <si>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</si>
  <si>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</si>
  <si>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</si>
  <si>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</si>
  <si>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</si>
  <si>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</si>
  <si>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</si>
  <si>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</si>
  <si>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</si>
  <si>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</si>
  <si>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</si>
  <si>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</si>
  <si>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</si>
  <si>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</si>
  <si>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</si>
  <si>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</si>
  <si>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</si>
  <si>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</si>
  <si>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</si>
  <si>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</si>
  <si>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</si>
  <si>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</si>
  <si>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</si>
  <si>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</si>
  <si>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</si>
  <si>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</si>
  <si>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</si>
  <si>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</si>
  <si>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</si>
  <si>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</si>
  <si>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</si>
  <si>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</si>
  <si>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</si>
  <si>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</si>
  <si>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</si>
  <si>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</si>
  <si>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</si>
  <si>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</si>
  <si>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</si>
  <si>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</si>
  <si>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</si>
  <si>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</si>
  <si>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</si>
  <si>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</si>
  <si>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</si>
  <si>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</si>
  <si>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</si>
  <si>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</si>
  <si>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</si>
  <si>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</si>
  <si>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</si>
  <si>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</si>
  <si>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</si>
  <si>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</si>
  <si>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</si>
  <si>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</si>
  <si>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</si>
  <si>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</si>
  <si>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</si>
  <si>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</si>
  <si>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</si>
  <si>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</si>
  <si>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</si>
  <si>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</si>
  <si>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</si>
  <si>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</si>
  <si>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</si>
  <si>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</si>
  <si>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</si>
  <si>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</si>
  <si>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</si>
  <si>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</si>
  <si>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</si>
  <si>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</si>
  <si>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</si>
  <si>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</si>
  <si>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</si>
  <si>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</si>
  <si>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</si>
  <si>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</si>
  <si>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</si>
  <si>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</si>
  <si>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</si>
  <si>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</si>
  <si>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</si>
  <si>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</si>
  <si>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</si>
  <si>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</si>
  <si>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</si>
  <si>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</si>
  <si>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</si>
  <si>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</si>
  <si>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</si>
  <si>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</si>
  <si>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</si>
  <si>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</si>
  <si>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</si>
  <si>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</si>
  <si>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</si>
  <si>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</si>
  <si>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</si>
  <si>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</si>
  <si>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</si>
  <si>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</si>
  <si>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</si>
  <si>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</si>
  <si>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</si>
  <si>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</si>
  <si>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</si>
  <si>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</si>
  <si>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</si>
  <si>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</si>
  <si>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</si>
  <si>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</si>
  <si>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</si>
  <si>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</si>
  <si>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</si>
  <si>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</si>
  <si>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</si>
  <si>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</si>
  <si>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</si>
  <si>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</si>
  <si>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</si>
  <si>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</si>
  <si>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</si>
  <si>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</si>
  <si>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</si>
  <si>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</si>
  <si>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</si>
  <si>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</si>
  <si>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</si>
  <si>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</si>
  <si>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</si>
  <si>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</si>
  <si>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</si>
  <si>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</si>
  <si>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</si>
  <si>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</si>
  <si>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</si>
  <si>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</si>
  <si>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</si>
  <si>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</si>
  <si>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</si>
  <si>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</si>
  <si>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</si>
  <si>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</si>
  <si>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</si>
  <si>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</si>
  <si>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</si>
  <si>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</si>
  <si>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</si>
  <si>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</si>
  <si>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</si>
  <si>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</si>
  <si>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</si>
  <si>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</si>
  <si>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</si>
  <si>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</si>
  <si>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</si>
  <si>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</si>
  <si>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</si>
  <si>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</si>
  <si>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</si>
  <si>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</si>
  <si>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</si>
  <si>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</si>
  <si>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</si>
  <si>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</si>
  <si>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</si>
  <si>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</si>
  <si>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</si>
  <si>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</si>
  <si>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</si>
  <si>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</si>
  <si>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</si>
  <si>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</si>
  <si>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</si>
  <si>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</si>
  <si>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</si>
  <si>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</si>
  <si>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</si>
  <si>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</si>
  <si>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</si>
  <si>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</si>
  <si>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</si>
  <si>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</si>
  <si>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</si>
  <si>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</si>
  <si>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</si>
  <si>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</si>
  <si>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</si>
  <si>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</si>
  <si>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</si>
  <si>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</si>
  <si>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</si>
  <si>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</si>
  <si>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</si>
  <si>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</si>
  <si>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</si>
  <si>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</si>
  <si>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</si>
  <si>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</si>
  <si>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</si>
  <si>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</si>
  <si>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</si>
  <si>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</si>
  <si>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</si>
  <si>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</si>
  <si>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</si>
  <si>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</si>
  <si>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</si>
  <si>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</si>
  <si>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</si>
  <si>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</si>
  <si>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</si>
  <si>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</si>
  <si>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</si>
  <si>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</si>
  <si>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</si>
  <si>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</si>
  <si>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</si>
  <si>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</si>
  <si>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</si>
  <si>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</si>
  <si>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</si>
  <si>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</si>
  <si>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</si>
  <si>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</si>
  <si>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</si>
  <si>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</si>
  <si>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</si>
  <si>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</si>
  <si>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</si>
  <si>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</si>
  <si>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</si>
  <si>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</si>
  <si>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</si>
  <si>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</si>
  <si>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</si>
  <si>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</si>
  <si>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</si>
  <si>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</si>
  <si>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</si>
  <si>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</si>
  <si>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</si>
  <si>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</si>
  <si>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</si>
  <si>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</si>
  <si>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</si>
  <si>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</si>
  <si>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</si>
  <si>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</si>
  <si>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</si>
  <si>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</si>
  <si>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</si>
  <si>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</si>
  <si>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</si>
  <si>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</si>
  <si>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</si>
  <si>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</si>
  <si>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</si>
  <si>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</si>
  <si>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</si>
  <si>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</si>
  <si>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</si>
  <si>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</si>
  <si>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</si>
  <si>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</si>
  <si>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</si>
  <si>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</si>
  <si>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</si>
  <si>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</si>
  <si>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</si>
  <si>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</si>
  <si>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</si>
  <si>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</si>
  <si>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</si>
  <si>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</si>
  <si>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</si>
  <si>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</si>
  <si>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</si>
  <si>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</si>
  <si>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</si>
  <si>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</si>
  <si>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</si>
  <si>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</si>
  <si>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</si>
  <si>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</si>
  <si>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</si>
  <si>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</si>
  <si>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</si>
  <si>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</si>
  <si>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</si>
  <si>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</si>
  <si>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</si>
  <si>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</si>
  <si>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</si>
  <si>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</si>
  <si>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</si>
  <si>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</si>
  <si>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</si>
  <si>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</si>
  <si>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</si>
  <si>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</si>
  <si>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</si>
  <si>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</si>
  <si>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</si>
  <si>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</si>
  <si>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</si>
  <si>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</si>
  <si>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</si>
  <si>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</si>
  <si>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</si>
  <si>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</si>
  <si>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</si>
  <si>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</si>
  <si>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</si>
  <si>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</si>
  <si>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</si>
  <si>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</si>
  <si>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</si>
  <si>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</si>
  <si>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</si>
  <si>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</si>
  <si>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</si>
  <si>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</si>
  <si>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</si>
  <si>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</si>
  <si>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</si>
  <si>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</si>
  <si>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</si>
  <si>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</si>
  <si>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</si>
  <si>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</si>
  <si>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</si>
  <si>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</si>
  <si>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</si>
  <si>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</si>
  <si>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</si>
  <si>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</si>
  <si>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</si>
  <si>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</si>
  <si>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</si>
  <si>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</si>
  <si>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</si>
  <si>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</si>
  <si>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</si>
  <si>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</si>
  <si>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</si>
  <si>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</si>
  <si>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</si>
  <si>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</si>
  <si>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</si>
  <si>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</si>
  <si>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</si>
  <si>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</si>
  <si>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</si>
  <si>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</si>
  <si>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</si>
  <si>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</si>
  <si>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</si>
  <si>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</si>
  <si>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</si>
  <si>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</si>
  <si>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</si>
  <si>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</si>
  <si>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</si>
  <si>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</si>
  <si>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</si>
  <si>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</si>
  <si>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</si>
  <si>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</si>
  <si>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</si>
  <si>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</si>
  <si>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</si>
  <si>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</si>
  <si>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</si>
  <si>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</si>
  <si>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</si>
  <si>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</si>
  <si>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</si>
  <si>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</si>
  <si>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</si>
  <si>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</si>
  <si>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</si>
  <si>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</si>
  <si>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</si>
  <si>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</si>
  <si>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</si>
  <si>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</si>
  <si>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</si>
  <si>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</si>
  <si>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</si>
  <si>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</si>
  <si>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</si>
  <si>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</si>
  <si>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</si>
  <si>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</si>
  <si>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</si>
  <si>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</si>
  <si>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</si>
  <si>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</si>
  <si>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</si>
  <si>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</si>
  <si>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</si>
  <si>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</si>
  <si>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</si>
  <si>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</si>
  <si>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</si>
  <si>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</si>
  <si>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</si>
  <si>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</si>
  <si>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</si>
  <si>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</si>
  <si>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</si>
  <si>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</si>
  <si>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</si>
  <si>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</si>
  <si>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</si>
  <si>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</si>
  <si>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</si>
  <si>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</si>
  <si>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</si>
  <si>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</si>
  <si>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</si>
  <si>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</si>
  <si>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</si>
  <si>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</si>
  <si>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</si>
  <si>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</si>
  <si>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</si>
  <si>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</si>
  <si>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</si>
  <si>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</si>
  <si>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</si>
  <si>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</si>
  <si>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</si>
  <si>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</si>
  <si>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</si>
  <si>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</si>
  <si>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</si>
  <si>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</si>
  <si>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</si>
  <si>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</si>
  <si>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</si>
  <si>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</si>
  <si>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</si>
  <si>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</si>
  <si>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</si>
  <si>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</si>
  <si>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</si>
  <si>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</si>
  <si>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</si>
  <si>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</si>
  <si>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</si>
  <si>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</si>
  <si>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</si>
  <si>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</si>
  <si>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</si>
  <si>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</si>
  <si>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</si>
  <si>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</si>
  <si>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</si>
  <si>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</si>
  <si>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</si>
  <si>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</si>
  <si>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</si>
  <si>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</si>
  <si>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</si>
  <si>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</si>
  <si>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</si>
  <si>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</si>
  <si>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</si>
  <si>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</si>
  <si>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</si>
  <si>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</si>
  <si>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</si>
  <si>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</si>
  <si>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</si>
  <si>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</si>
  <si>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</si>
  <si>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</si>
  <si>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</si>
  <si>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</si>
  <si>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</si>
  <si>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</si>
  <si>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</si>
  <si>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</si>
  <si>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</si>
  <si>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</si>
  <si>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</si>
  <si>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</si>
  <si>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</si>
  <si>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</si>
  <si>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</si>
  <si>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</si>
  <si>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</si>
  <si>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</si>
  <si>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</si>
  <si>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</si>
  <si>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</si>
  <si>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</si>
  <si>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</si>
  <si>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</si>
  <si>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</si>
  <si>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</si>
  <si>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</si>
  <si>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</si>
  <si>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</si>
  <si>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</si>
  <si>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</si>
  <si>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</si>
  <si>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</si>
  <si>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</si>
  <si>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</si>
  <si>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</si>
  <si>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</si>
  <si>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</si>
  <si>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</si>
  <si>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</si>
  <si>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</si>
  <si>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</si>
  <si>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</si>
  <si>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</si>
  <si>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</si>
  <si>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</si>
  <si>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</si>
  <si>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</si>
  <si>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</si>
  <si>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</si>
  <si>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</si>
  <si>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</si>
  <si>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</si>
  <si>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</si>
  <si>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</si>
  <si>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</si>
  <si>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</si>
  <si>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</si>
  <si>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</si>
  <si>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</si>
  <si>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</si>
  <si>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</si>
  <si>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</si>
  <si>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</si>
  <si>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</si>
  <si>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</si>
  <si>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</si>
  <si>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</si>
  <si>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</si>
  <si>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</si>
  <si>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</si>
  <si>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</si>
  <si>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</si>
  <si>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</si>
  <si>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</si>
  <si>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</si>
  <si>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</si>
  <si>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</si>
  <si>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</si>
  <si>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</si>
  <si>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</si>
  <si>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</si>
  <si>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</si>
  <si>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</si>
  <si>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</si>
  <si>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</si>
  <si>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</si>
  <si>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</si>
  <si>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</si>
  <si>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</si>
  <si>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</si>
  <si>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</si>
  <si>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</si>
  <si>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</si>
  <si>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</si>
  <si>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</si>
  <si>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</si>
  <si>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</si>
  <si>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</si>
  <si>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</si>
  <si>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</si>
  <si>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</si>
  <si>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</si>
  <si>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</si>
  <si>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</si>
  <si>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</si>
  <si>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</si>
  <si>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</si>
  <si>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</si>
  <si>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</si>
  <si>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</si>
  <si>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</si>
  <si>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</si>
  <si>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</si>
  <si>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</si>
  <si>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</si>
  <si>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</si>
  <si>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</si>
  <si>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</si>
  <si>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</si>
  <si>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</si>
  <si>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</si>
  <si>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</si>
  <si>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</si>
  <si>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</si>
  <si>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</si>
  <si>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</si>
  <si>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</si>
  <si>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</si>
  <si>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</si>
  <si>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</si>
  <si>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</si>
  <si>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</si>
  <si>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</si>
  <si>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</si>
  <si>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</si>
  <si>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</si>
  <si>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</si>
  <si>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</si>
  <si>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</si>
  <si>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</si>
  <si>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</si>
  <si>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</si>
  <si>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</si>
  <si>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</si>
  <si>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</si>
  <si>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</si>
  <si>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</si>
  <si>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</si>
  <si>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</si>
  <si>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</si>
  <si>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</si>
  <si>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</si>
  <si>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</si>
  <si>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</si>
  <si>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</si>
  <si>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</si>
  <si>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</si>
  <si>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</si>
  <si>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</si>
  <si>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</si>
  <si>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</si>
  <si>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</si>
  <si>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</si>
  <si>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</si>
  <si>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</si>
  <si>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</si>
  <si>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</si>
  <si>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</si>
  <si>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</si>
  <si>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</si>
  <si>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</si>
  <si>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</si>
  <si>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</si>
  <si>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</si>
  <si>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</si>
  <si>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</si>
  <si>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</si>
  <si>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</si>
  <si>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</si>
  <si>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</si>
  <si>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</si>
  <si>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</si>
  <si>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</si>
  <si>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</si>
  <si>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</si>
  <si>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</si>
  <si>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</si>
  <si>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</si>
  <si>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</si>
  <si>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</si>
  <si>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</si>
  <si>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</si>
  <si>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</si>
  <si>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</si>
  <si>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</si>
  <si>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</si>
  <si>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</si>
  <si>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</si>
  <si>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</si>
  <si>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</si>
  <si>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</si>
  <si>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</si>
  <si>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</si>
  <si>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</si>
  <si>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</si>
  <si>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</si>
  <si>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</si>
  <si>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</si>
  <si>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</si>
  <si>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</si>
  <si>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</si>
  <si>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</si>
  <si>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</si>
  <si>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</si>
  <si>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</si>
  <si>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</si>
  <si>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</si>
  <si>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</si>
  <si>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</si>
  <si>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</si>
  <si>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</si>
  <si>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</si>
  <si>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</si>
  <si>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</si>
  <si>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</si>
  <si>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</si>
  <si>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</si>
  <si>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</si>
  <si>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</si>
  <si>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</si>
  <si>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</si>
  <si>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</si>
  <si>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</si>
  <si>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</si>
  <si>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</si>
  <si>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</si>
  <si>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</si>
  <si>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</si>
  <si>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</si>
  <si>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</si>
  <si>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</si>
  <si>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</si>
  <si>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</si>
  <si>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</si>
  <si>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</si>
  <si>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</si>
  <si>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</si>
  <si>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</si>
  <si>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</si>
  <si>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</si>
  <si>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</si>
  <si>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</si>
  <si>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</si>
  <si>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</si>
  <si>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</si>
  <si>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</si>
  <si>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</si>
  <si>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</si>
  <si>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</si>
  <si>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</si>
  <si>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</si>
  <si>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</si>
  <si>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</si>
  <si>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</si>
  <si>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</si>
  <si>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</si>
  <si>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</si>
  <si>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</si>
  <si>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</si>
  <si>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</si>
  <si>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</si>
  <si>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</si>
  <si>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</si>
  <si>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</si>
  <si>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</si>
  <si>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</si>
  <si>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</si>
  <si>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</si>
  <si>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</si>
  <si>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</si>
  <si>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</si>
  <si>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</si>
  <si>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</si>
  <si>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</si>
  <si>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</si>
  <si>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</si>
  <si>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</si>
  <si>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</si>
  <si>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</si>
  <si>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</si>
  <si>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</si>
  <si>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</si>
  <si>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</si>
  <si>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</si>
  <si>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</si>
  <si>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</si>
  <si>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</si>
  <si>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</si>
  <si>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</si>
  <si>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</si>
  <si>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</si>
  <si>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</si>
  <si>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</si>
  <si>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</si>
  <si>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</si>
  <si>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</si>
  <si>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</si>
  <si>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</si>
  <si>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</si>
  <si>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</si>
  <si>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</si>
  <si>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</si>
  <si>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</si>
  <si>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</si>
  <si>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</si>
  <si>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</si>
  <si>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</si>
  <si>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</si>
  <si>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</si>
  <si>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</si>
  <si>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</si>
  <si>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</si>
  <si>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</si>
  <si>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</si>
  <si>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</si>
  <si>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</si>
  <si>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</si>
  <si>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</si>
  <si>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</si>
  <si>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</si>
  <si>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</si>
  <si>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</si>
  <si>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</si>
  <si>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</si>
  <si>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</si>
  <si>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</si>
  <si>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</si>
  <si>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</si>
  <si>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</si>
  <si>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</si>
  <si>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</si>
  <si>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</si>
  <si>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</si>
  <si>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</si>
  <si>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</si>
  <si>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</si>
  <si>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</si>
  <si>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</si>
  <si>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</si>
  <si>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</si>
  <si>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</si>
  <si>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</si>
  <si>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</si>
  <si>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</si>
  <si>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</si>
  <si>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</si>
  <si>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</si>
  <si>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</si>
  <si>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</si>
  <si>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</si>
  <si>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</si>
  <si>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</si>
  <si>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</si>
  <si>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</si>
  <si>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</si>
  <si>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</si>
  <si>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</si>
  <si>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</si>
  <si>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</si>
  <si>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</si>
  <si>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</si>
  <si>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</si>
  <si>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</si>
  <si>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</si>
  <si>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</si>
  <si>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</si>
  <si>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</si>
  <si>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</si>
  <si>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</si>
  <si>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</si>
  <si>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</si>
  <si>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</si>
  <si>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</si>
  <si>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</si>
  <si>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</si>
  <si>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</si>
  <si>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</si>
  <si>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</si>
  <si>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</si>
  <si>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</si>
  <si>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</si>
  <si>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</si>
  <si>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</si>
  <si>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</si>
  <si>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</si>
  <si>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</si>
  <si>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</si>
  <si>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</si>
  <si>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</si>
  <si>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</si>
  <si>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</si>
  <si>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</si>
  <si>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</si>
  <si>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</si>
  <si>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</si>
  <si>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</si>
  <si>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</si>
  <si>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</si>
  <si>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</si>
  <si>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</si>
  <si>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</si>
  <si>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</si>
  <si>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</si>
  <si>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</si>
  <si>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</si>
  <si>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</si>
  <si>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</si>
  <si>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</si>
  <si>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</si>
  <si>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</si>
  <si>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</si>
  <si>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</si>
  <si>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</si>
  <si>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</si>
  <si>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</si>
  <si>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</si>
  <si>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</si>
  <si>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</si>
  <si>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</si>
  <si>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</si>
  <si>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</si>
  <si>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</si>
  <si>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</si>
  <si>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</si>
  <si>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</si>
  <si>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</si>
  <si>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</si>
  <si>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</si>
  <si>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</si>
  <si>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</si>
  <si>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</si>
  <si>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</si>
  <si>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</si>
  <si>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</si>
  <si>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</si>
  <si>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</si>
  <si>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</si>
  <si>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</si>
  <si>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</si>
  <si>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</si>
  <si>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</si>
  <si>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</si>
  <si>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</si>
  <si>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</si>
  <si>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</si>
  <si>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</si>
  <si>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</si>
  <si>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</si>
  <si>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</si>
  <si>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</si>
  <si>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</si>
  <si>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</si>
  <si>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</si>
  <si>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</si>
  <si>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</si>
  <si>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</si>
  <si>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</si>
  <si>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</si>
  <si>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</si>
  <si>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</si>
  <si>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</si>
  <si>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</si>
  <si>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</si>
  <si>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</si>
  <si>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</si>
  <si>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</si>
  <si>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</si>
  <si>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</si>
  <si>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</si>
  <si>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</si>
  <si>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</si>
  <si>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</si>
  <si>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</si>
  <si>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</si>
  <si>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</si>
  <si>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</si>
  <si>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</si>
  <si>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</si>
  <si>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</si>
  <si>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</si>
  <si>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</si>
  <si>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</si>
  <si>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</si>
  <si>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</si>
  <si>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</si>
  <si>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</si>
  <si>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</si>
  <si>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</si>
  <si>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</si>
  <si>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</si>
  <si>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</si>
  <si>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</si>
  <si>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</si>
  <si>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</si>
  <si>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</si>
  <si>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</si>
  <si>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</si>
  <si>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</si>
  <si>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</si>
  <si>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</si>
  <si>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</si>
  <si>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</si>
  <si>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</si>
  <si>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</si>
  <si>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</si>
  <si>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</si>
  <si>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</si>
  <si>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</si>
  <si>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</si>
  <si>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</si>
  <si>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</si>
  <si>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</si>
  <si>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</si>
  <si>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</si>
  <si>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</si>
  <si>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</si>
  <si>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</si>
  <si>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</si>
  <si>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</si>
  <si>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</si>
  <si>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</si>
  <si>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</si>
  <si>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</si>
  <si>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</si>
  <si>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</si>
  <si>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</si>
  <si>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</si>
  <si>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</si>
  <si>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</si>
  <si>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</si>
  <si>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</si>
  <si>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</si>
  <si>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</si>
  <si>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</si>
  <si>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</si>
  <si>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</si>
  <si>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</si>
  <si>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</si>
  <si>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</si>
  <si>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</si>
  <si>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</si>
  <si>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</si>
  <si>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</si>
  <si>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</si>
  <si>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</si>
  <si>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</si>
  <si>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</si>
  <si>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</si>
  <si>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</si>
  <si>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</si>
  <si>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</si>
  <si>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</si>
  <si>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</si>
  <si>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</si>
  <si>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</si>
  <si>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</si>
  <si>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</si>
  <si>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</si>
  <si>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</si>
  <si>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</si>
  <si>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</si>
  <si>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</si>
  <si>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</si>
  <si>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</si>
  <si>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</si>
  <si>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</si>
  <si>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</si>
  <si>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</si>
  <si>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</si>
  <si>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</si>
  <si>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</si>
  <si>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</si>
  <si>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</si>
  <si>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</si>
  <si>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</si>
  <si>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</si>
  <si>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</si>
  <si>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</si>
  <si>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</si>
  <si>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</si>
  <si>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</si>
  <si>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</si>
  <si>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</si>
  <si>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</si>
  <si>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</si>
  <si>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</si>
  <si>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</si>
  <si>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</si>
  <si>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</si>
  <si>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</si>
  <si>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</si>
  <si>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</si>
  <si>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</si>
  <si>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</si>
  <si>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</si>
  <si>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</si>
  <si>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</si>
  <si>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</si>
  <si>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</si>
  <si>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</si>
  <si>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</si>
  <si>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</si>
  <si>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</si>
  <si>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</si>
  <si>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</si>
  <si>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</si>
  <si>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</si>
  <si>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</si>
  <si>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</si>
  <si>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</si>
  <si>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</si>
  <si>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</si>
  <si>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</si>
  <si>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</si>
  <si>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</si>
  <si>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</si>
  <si>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</si>
  <si>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</si>
  <si>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</si>
  <si>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</si>
  <si>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</si>
  <si>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</si>
  <si>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</si>
  <si>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</si>
  <si>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</si>
  <si>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</si>
  <si>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</si>
  <si>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</si>
  <si>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</si>
  <si>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</si>
  <si>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</si>
  <si>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</si>
  <si>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</si>
  <si>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</si>
  <si>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</si>
  <si>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</si>
  <si>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</si>
  <si>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</si>
  <si>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</si>
  <si>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</si>
  <si>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</si>
  <si>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</si>
  <si>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</si>
  <si>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</si>
  <si>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</si>
  <si>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</si>
  <si>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</si>
  <si>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</si>
  <si>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</si>
  <si>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</si>
  <si>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</si>
  <si>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</si>
  <si>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</si>
  <si>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</si>
  <si>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</si>
  <si>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</si>
  <si>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</si>
  <si>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</si>
  <si>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</si>
  <si>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</si>
  <si>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</si>
  <si>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</si>
  <si>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</si>
  <si>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</si>
  <si>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</si>
  <si>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</si>
  <si>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</si>
  <si>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</si>
  <si>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</si>
  <si>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</si>
  <si>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</si>
  <si>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</si>
  <si>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</si>
  <si>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</si>
  <si>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</si>
  <si>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</si>
  <si>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</si>
  <si>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</si>
  <si>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</si>
  <si>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</si>
  <si>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</si>
  <si>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</si>
  <si>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</si>
  <si>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</si>
  <si>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</si>
  <si>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</si>
  <si>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</si>
  <si>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</si>
  <si>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</si>
  <si>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</si>
  <si>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</si>
  <si>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</si>
  <si>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</si>
  <si>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</si>
  <si>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</si>
  <si>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</si>
  <si>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</si>
  <si>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</si>
  <si>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</si>
  <si>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</si>
  <si>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</si>
  <si>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</si>
  <si>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</si>
  <si>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</si>
  <si>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</si>
  <si>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</si>
  <si>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</si>
  <si>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</si>
  <si>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</si>
  <si>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</si>
  <si>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</si>
  <si>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</si>
  <si>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</si>
  <si>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</si>
  <si>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</si>
  <si>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</si>
  <si>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</si>
  <si>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</si>
  <si>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</si>
  <si>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</si>
  <si>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</si>
  <si>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</si>
  <si>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</si>
  <si>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</si>
  <si>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</si>
  <si>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</si>
  <si>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</si>
  <si>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</si>
  <si>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</si>
  <si>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</si>
  <si>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</si>
  <si>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</si>
  <si>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</si>
  <si>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</si>
  <si>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</si>
  <si>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</si>
  <si>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</si>
  <si>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</si>
  <si>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</si>
  <si>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</si>
  <si>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</si>
  <si>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</si>
  <si>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</si>
  <si>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</si>
  <si>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</si>
  <si>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</si>
  <si>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</si>
  <si>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</si>
  <si>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</si>
  <si>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</si>
  <si>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</si>
  <si>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</si>
  <si>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</si>
  <si>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</si>
  <si>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</si>
  <si>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</si>
  <si>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</si>
  <si>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</si>
  <si>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</si>
  <si>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</si>
  <si>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</si>
  <si>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</si>
  <si>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</si>
  <si>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</si>
  <si>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</si>
  <si>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</si>
  <si>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</si>
  <si>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</si>
  <si>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</si>
  <si>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</si>
  <si>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</si>
  <si>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</si>
  <si>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</si>
  <si>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</si>
  <si>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</si>
  <si>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</si>
  <si>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</si>
  <si>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</si>
  <si>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</si>
  <si>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</si>
  <si>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</si>
  <si>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</si>
  <si>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</si>
  <si>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</si>
  <si>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</si>
  <si>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</si>
  <si>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</si>
  <si>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</si>
  <si>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</si>
  <si>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</si>
  <si>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</si>
  <si>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</si>
  <si>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</si>
  <si>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</si>
  <si>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</si>
  <si>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</si>
  <si>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</si>
  <si>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</si>
  <si>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</si>
  <si>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</si>
  <si>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</si>
  <si>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</si>
  <si>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</si>
  <si>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</si>
  <si>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</si>
  <si>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</si>
  <si>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</si>
  <si>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</si>
  <si>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</si>
  <si>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</si>
  <si>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</si>
  <si>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</si>
  <si>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</si>
  <si>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</si>
  <si>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</si>
  <si>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</si>
  <si>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</si>
  <si>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</si>
  <si>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</si>
  <si>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</si>
  <si>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</si>
  <si>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</si>
  <si>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</si>
  <si>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</si>
  <si>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</si>
  <si>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</si>
  <si>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</si>
  <si>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</si>
  <si>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</si>
  <si>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</si>
  <si>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</si>
  <si>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</si>
  <si>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</si>
  <si>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</si>
  <si>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</si>
  <si>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</si>
  <si>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</si>
  <si>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</si>
  <si>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</si>
  <si>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</si>
  <si>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</si>
  <si>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</si>
  <si>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</si>
  <si>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</si>
  <si>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</si>
  <si>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</si>
  <si>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</si>
  <si>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</si>
  <si>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</si>
  <si>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</si>
  <si>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</si>
  <si>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</si>
  <si>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</si>
  <si>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</si>
  <si>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</si>
  <si>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</si>
  <si>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</si>
  <si>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</si>
  <si>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</si>
  <si>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</si>
  <si>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</si>
  <si>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</si>
  <si>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</si>
  <si>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</si>
  <si>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</si>
  <si>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</si>
  <si>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</si>
  <si>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</si>
  <si>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</si>
  <si>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</si>
  <si>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</si>
  <si>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</si>
  <si>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</si>
  <si>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</si>
  <si>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</si>
  <si>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</si>
  <si>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</si>
  <si>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</si>
  <si>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</si>
  <si>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</si>
  <si>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</si>
  <si>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</si>
  <si>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</si>
  <si>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</si>
  <si>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</si>
  <si>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</si>
  <si>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</si>
  <si>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</si>
  <si>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</si>
  <si>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</si>
  <si>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</si>
  <si>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</si>
  <si>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</si>
  <si>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</si>
  <si>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</si>
  <si>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</si>
  <si>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</si>
  <si>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</si>
  <si>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</si>
  <si>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</si>
  <si>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</si>
  <si>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</si>
  <si>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</si>
  <si>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</si>
  <si>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</si>
  <si>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</si>
  <si>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</si>
  <si>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</si>
  <si>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</si>
  <si>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</si>
  <si>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</si>
  <si>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</si>
  <si>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</si>
  <si>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</si>
  <si>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</si>
  <si>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</si>
  <si>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</si>
  <si>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</si>
  <si>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</si>
  <si>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</si>
  <si>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</si>
  <si>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</si>
  <si>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</si>
  <si>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</si>
  <si>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</si>
  <si>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</si>
  <si>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</si>
  <si>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</si>
  <si>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</si>
  <si>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</si>
  <si>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</si>
  <si>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</si>
  <si>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</si>
  <si>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</si>
  <si>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</si>
  <si>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</si>
  <si>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</si>
  <si>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</si>
  <si>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</si>
  <si>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</si>
  <si>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</si>
  <si>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</si>
  <si>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</si>
  <si>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</si>
  <si>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</si>
  <si>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</si>
  <si>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</si>
  <si>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</si>
  <si>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</si>
  <si>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</si>
  <si>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</si>
  <si>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</si>
  <si>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</si>
  <si>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</si>
  <si>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</si>
  <si>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</si>
  <si>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</si>
  <si>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</si>
  <si>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</si>
  <si>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</si>
  <si>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</si>
  <si>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</si>
  <si>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</si>
  <si>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</si>
  <si>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</si>
  <si>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</si>
  <si>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</si>
  <si>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</si>
  <si>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</si>
  <si>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</si>
  <si>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</si>
  <si>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</si>
  <si>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</si>
  <si>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</si>
  <si>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</si>
  <si>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</si>
  <si>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</si>
  <si>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</si>
  <si>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</si>
  <si>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</si>
  <si>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</si>
  <si>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</si>
  <si>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</si>
  <si>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</si>
  <si>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</si>
  <si>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</si>
  <si>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</si>
  <si>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</si>
  <si>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</si>
  <si>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</si>
  <si>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</si>
  <si>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</si>
  <si>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</si>
  <si>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</si>
  <si>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</si>
  <si>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</si>
  <si>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</si>
  <si>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</si>
  <si>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</si>
  <si>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</si>
  <si>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</si>
  <si>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</si>
  <si>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</si>
  <si>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</si>
  <si>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</si>
  <si>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</si>
  <si>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</si>
  <si>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</si>
  <si>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</si>
  <si>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</si>
  <si>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</si>
  <si>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</si>
  <si>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</si>
  <si>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</si>
  <si>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</si>
  <si>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</si>
  <si>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</si>
  <si>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</si>
  <si>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</si>
  <si>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</si>
  <si>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</si>
  <si>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</si>
  <si>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</si>
  <si>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</si>
  <si>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</si>
  <si>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</si>
  <si>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</si>
  <si>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</si>
  <si>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</si>
  <si>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</si>
  <si>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</si>
  <si>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</si>
  <si>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</si>
  <si>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</si>
  <si>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</si>
  <si>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</si>
  <si>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</si>
  <si>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</si>
  <si>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</si>
  <si>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</si>
  <si>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</si>
  <si>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</si>
  <si>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</si>
  <si>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</si>
  <si>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</si>
  <si>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</si>
  <si>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</si>
  <si>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</si>
  <si>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</si>
  <si>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</si>
  <si>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</si>
  <si>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</si>
  <si>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</si>
  <si>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</si>
  <si>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</si>
  <si>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</si>
  <si>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</si>
  <si>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</si>
  <si>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</si>
  <si>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</si>
  <si>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</si>
  <si>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</si>
  <si>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</si>
  <si>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</si>
  <si>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</si>
  <si>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</si>
  <si>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</si>
  <si>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</si>
  <si>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</si>
  <si>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</si>
  <si>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</si>
  <si>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</si>
  <si>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</si>
  <si>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</si>
  <si>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</si>
  <si>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</si>
  <si>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</si>
  <si>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</si>
  <si>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</si>
  <si>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</si>
  <si>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</si>
  <si>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</si>
  <si>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</si>
  <si>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</si>
  <si>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</si>
  <si>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</si>
  <si>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</si>
  <si>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</si>
  <si>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</si>
  <si>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</si>
  <si>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</si>
  <si>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</si>
  <si>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</si>
  <si>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</si>
  <si>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</si>
  <si>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</si>
  <si>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</si>
  <si>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</si>
  <si>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</si>
  <si>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</si>
  <si>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</si>
  <si>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</si>
  <si>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</si>
  <si>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</si>
  <si>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</si>
  <si>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</si>
  <si>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</si>
  <si>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</si>
  <si>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</si>
  <si>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</si>
  <si>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</si>
  <si>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</si>
  <si>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</si>
  <si>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</si>
  <si>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</si>
  <si>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</si>
  <si>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</si>
  <si>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</si>
  <si>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</si>
  <si>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</si>
  <si>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</si>
  <si>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</si>
  <si>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</si>
  <si>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</si>
  <si>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</si>
  <si>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</si>
  <si>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</si>
  <si>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</si>
  <si>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</si>
  <si>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</si>
  <si>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</si>
  <si>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</si>
  <si>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</si>
  <si>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</si>
  <si>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</si>
  <si>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</si>
  <si>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</si>
  <si>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</si>
  <si>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</si>
  <si>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</si>
  <si>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</si>
  <si>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</si>
  <si>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</si>
  <si>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</si>
  <si>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</si>
  <si>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</si>
  <si>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</si>
  <si>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</si>
  <si>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</si>
  <si>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</si>
  <si>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</si>
  <si>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</si>
  <si>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</si>
  <si>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</si>
  <si>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</si>
  <si>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</si>
  <si>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</si>
  <si>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</si>
  <si>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</si>
  <si>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</si>
  <si>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</si>
  <si>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</si>
  <si>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</si>
  <si>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</si>
  <si>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</si>
  <si>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</si>
  <si>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</si>
  <si>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</si>
  <si>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</si>
  <si>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</si>
  <si>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</si>
  <si>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</si>
  <si>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</si>
  <si>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</si>
  <si>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</si>
  <si>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</si>
  <si>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</si>
  <si>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</si>
  <si>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</si>
  <si>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</si>
  <si>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</si>
  <si>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</si>
  <si>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</si>
  <si>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</si>
  <si>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</si>
  <si>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</si>
  <si>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</si>
  <si>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</si>
  <si>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</si>
  <si>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</si>
  <si>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</si>
  <si>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</si>
  <si>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</si>
  <si>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</si>
  <si>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</si>
  <si>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</si>
  <si>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</si>
  <si>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</si>
  <si>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</si>
  <si>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</si>
  <si>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</si>
  <si>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</si>
  <si>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</si>
  <si>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</si>
  <si>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</si>
  <si>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</si>
  <si>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</si>
  <si>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</si>
  <si>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</si>
  <si>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</si>
  <si>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</si>
  <si>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</si>
  <si>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</si>
  <si>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</si>
  <si>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</si>
  <si>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</si>
  <si>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</si>
  <si>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</si>
  <si>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</si>
  <si>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</si>
  <si>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</si>
  <si>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</si>
  <si>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</si>
  <si>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</si>
  <si>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</si>
  <si>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</si>
  <si>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</si>
  <si>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</si>
  <si>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</si>
  <si>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</si>
  <si>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</si>
  <si>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</si>
  <si>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</si>
  <si>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</si>
  <si>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</si>
  <si>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</si>
  <si>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</si>
  <si>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</si>
  <si>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</si>
  <si>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</si>
  <si>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</si>
  <si>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</si>
  <si>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</si>
  <si>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</si>
  <si>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</si>
  <si>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</si>
  <si>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</si>
  <si>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</si>
  <si>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</si>
  <si>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</si>
  <si>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</si>
  <si>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</si>
  <si>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</si>
  <si>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</si>
  <si>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</si>
  <si>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</si>
  <si>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</si>
  <si>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</si>
  <si>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</si>
  <si>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</si>
  <si>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</si>
  <si>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</si>
  <si>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</si>
  <si>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</si>
  <si>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</si>
  <si>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</si>
  <si>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</si>
  <si>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</si>
  <si>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</si>
  <si>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</si>
  <si>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</si>
  <si>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</si>
  <si>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</si>
  <si>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</si>
  <si>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</si>
  <si>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</si>
  <si>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</si>
  <si>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</si>
  <si>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</si>
  <si>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</si>
  <si>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</si>
  <si>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</si>
  <si>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</si>
  <si>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</si>
  <si>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</si>
  <si>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</si>
  <si>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</si>
  <si>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</si>
  <si>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</si>
  <si>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</si>
  <si>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</si>
  <si>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</si>
  <si>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</si>
  <si>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</si>
  <si>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</si>
  <si>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</si>
  <si>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</si>
  <si>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</si>
  <si>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</si>
  <si>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</si>
  <si>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</si>
  <si>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</si>
  <si>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</si>
  <si>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</si>
  <si>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</si>
  <si>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</si>
  <si>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</si>
  <si>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</si>
  <si>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</si>
  <si>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</si>
  <si>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</si>
  <si>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</si>
  <si>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</si>
  <si>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</si>
  <si>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</si>
  <si>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</si>
  <si>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</si>
  <si>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</si>
  <si>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</si>
  <si>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</si>
  <si>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</si>
  <si>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</si>
  <si>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</si>
  <si>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</si>
  <si>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</si>
  <si>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</si>
  <si>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</si>
  <si>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</si>
  <si>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</si>
  <si>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</si>
  <si>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</si>
  <si>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</si>
  <si>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</si>
  <si>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</si>
  <si>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</si>
  <si>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</si>
  <si>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</si>
  <si>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</si>
  <si>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</si>
  <si>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</si>
  <si>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</si>
  <si>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</si>
  <si>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</si>
  <si>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</si>
  <si>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</si>
  <si>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</si>
  <si>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</si>
  <si>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</si>
  <si>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</si>
  <si>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</si>
  <si>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</si>
  <si>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</si>
  <si>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</si>
  <si>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</si>
  <si>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</si>
  <si>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</si>
  <si>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</si>
  <si>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</si>
  <si>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</si>
  <si>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</si>
  <si>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</si>
  <si>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</si>
  <si>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</si>
  <si>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</si>
  <si>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</si>
  <si>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</si>
  <si>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</si>
  <si>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</si>
  <si>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</si>
  <si>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</si>
  <si>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</si>
  <si>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</si>
  <si>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</si>
  <si>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</si>
  <si>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</si>
  <si>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</si>
  <si>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</si>
  <si>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</si>
  <si>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</si>
  <si>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</si>
  <si>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</si>
  <si>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</si>
  <si>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</si>
  <si>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</si>
  <si>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</si>
  <si>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</si>
  <si>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</si>
  <si>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</si>
  <si>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</si>
  <si>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</si>
  <si>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</si>
  <si>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</si>
  <si>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</si>
  <si>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</si>
  <si>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</si>
  <si>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</si>
  <si>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</si>
  <si>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</si>
  <si>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</si>
  <si>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</si>
  <si>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</si>
  <si>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</si>
  <si>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</si>
  <si>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</si>
  <si>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</si>
  <si>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</si>
  <si>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</si>
  <si>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</si>
  <si>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</si>
  <si>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</si>
  <si>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</si>
  <si>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</si>
  <si>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</si>
  <si>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</si>
  <si>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</si>
  <si>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</si>
  <si>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</si>
  <si>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</si>
  <si>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</si>
  <si>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</si>
  <si>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</si>
  <si>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</si>
  <si>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</si>
  <si>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</si>
  <si>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</si>
  <si>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</si>
  <si>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</si>
  <si>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</si>
  <si>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</si>
  <si>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</si>
  <si>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</si>
  <si>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</si>
  <si>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</si>
  <si>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</si>
  <si>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</si>
  <si>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</si>
  <si>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</si>
  <si>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</si>
  <si>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</si>
  <si>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</si>
  <si>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</si>
  <si>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</si>
  <si>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</si>
  <si>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</si>
  <si>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</si>
  <si>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</si>
  <si>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</si>
  <si>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</si>
  <si>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</si>
  <si>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</si>
  <si>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</si>
  <si>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</si>
  <si>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</si>
  <si>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</si>
  <si>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</si>
  <si>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</si>
  <si>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</si>
  <si>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</si>
  <si>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</si>
  <si>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</si>
  <si>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</si>
  <si>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</si>
  <si>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</si>
  <si>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</si>
  <si>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</si>
  <si>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</si>
  <si>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</si>
  <si>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</si>
  <si>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</si>
  <si>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</si>
  <si>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</si>
  <si>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</si>
  <si>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</si>
  <si>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</si>
  <si>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</si>
  <si>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</si>
  <si>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</si>
  <si>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</si>
  <si>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</si>
  <si>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</si>
  <si>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</si>
  <si>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</si>
  <si>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</si>
  <si>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</si>
  <si>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</si>
  <si>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</si>
  <si>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</si>
  <si>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</si>
  <si>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</si>
  <si>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</si>
  <si>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</si>
  <si>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</si>
  <si>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</si>
  <si>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</si>
  <si>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</si>
  <si>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</si>
  <si>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</si>
  <si>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</si>
  <si>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</si>
  <si>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</si>
  <si>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</si>
  <si>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</si>
  <si>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</si>
  <si>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</si>
  <si>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</si>
  <si>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</si>
  <si>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</si>
  <si>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</si>
  <si>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</si>
  <si>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</si>
  <si>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</si>
  <si>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</si>
  <si>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</si>
  <si>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</si>
  <si>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</si>
  <si>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</si>
  <si>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</si>
  <si>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</si>
  <si>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</si>
  <si>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</si>
  <si>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</si>
  <si>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</si>
  <si>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</si>
  <si>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</si>
  <si>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</si>
  <si>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</si>
  <si>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</si>
  <si>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</si>
  <si>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</si>
  <si>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</si>
  <si>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</si>
  <si>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</si>
  <si>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</si>
  <si>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</si>
  <si>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</si>
  <si>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</si>
  <si>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</si>
  <si>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</si>
  <si>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</si>
  <si>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</si>
  <si>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</si>
  <si>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</si>
  <si>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</si>
  <si>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</si>
  <si>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</si>
  <si>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</si>
  <si>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</si>
  <si>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</si>
  <si>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</si>
  <si>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</si>
  <si>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</si>
  <si>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</si>
  <si>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</si>
  <si>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</si>
  <si>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</si>
  <si>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</si>
  <si>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</si>
  <si>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</si>
  <si>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</si>
  <si>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</si>
  <si>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</si>
  <si>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</si>
  <si>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</si>
  <si>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</si>
  <si>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</si>
  <si>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</si>
  <si>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</si>
  <si>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</si>
  <si>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</si>
  <si>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</si>
  <si>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</si>
  <si>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</si>
  <si>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</si>
  <si>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</si>
  <si>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</si>
  <si>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</si>
  <si>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</si>
  <si>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</si>
  <si>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</si>
  <si>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</si>
  <si>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</si>
  <si>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</si>
  <si>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</si>
  <si>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</si>
  <si>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</si>
  <si>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</si>
  <si>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</si>
  <si>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</si>
  <si>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</si>
  <si>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</si>
  <si>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</si>
  <si>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</si>
  <si>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</si>
  <si>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</si>
  <si>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</si>
  <si>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</si>
  <si>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</si>
  <si>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</si>
  <si>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</si>
  <si>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</si>
  <si>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</si>
  <si>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</si>
  <si>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</si>
  <si>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</si>
  <si>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</si>
  <si>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</si>
  <si>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</si>
  <si>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</si>
  <si>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</si>
  <si>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</si>
  <si>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</si>
  <si>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</si>
  <si>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</si>
  <si>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</si>
  <si>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</si>
  <si>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</si>
  <si>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</si>
  <si>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</si>
  <si>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</si>
  <si>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</si>
  <si>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</si>
  <si>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</si>
  <si>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</si>
  <si>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</si>
  <si>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</si>
  <si>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</si>
  <si>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</si>
  <si>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</si>
  <si>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</si>
  <si>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</si>
  <si>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</si>
  <si>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</si>
  <si>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</si>
  <si>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</si>
  <si>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</si>
  <si>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</si>
  <si>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</si>
  <si>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</si>
  <si>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</si>
  <si>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</si>
  <si>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</si>
  <si>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</si>
  <si>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</si>
  <si>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</si>
  <si>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</si>
  <si>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</si>
  <si>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</si>
  <si>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</si>
  <si>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</si>
  <si>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</si>
  <si>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</si>
  <si>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</si>
  <si>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</si>
  <si>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</si>
  <si>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</si>
  <si>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</si>
  <si>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</si>
  <si>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</si>
  <si>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</si>
  <si>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</si>
  <si>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</si>
  <si>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</si>
  <si>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</si>
  <si>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</si>
  <si>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</si>
  <si>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</si>
  <si>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</si>
  <si>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</si>
  <si>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</si>
  <si>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</si>
  <si>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</si>
  <si>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</si>
  <si>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</si>
  <si>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</si>
  <si>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</si>
  <si>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</si>
  <si>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</si>
  <si>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</si>
  <si>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</si>
  <si>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</si>
  <si>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</si>
  <si>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</si>
  <si>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</si>
  <si>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</si>
  <si>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</si>
  <si>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</si>
  <si>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</si>
  <si>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</si>
  <si>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</si>
  <si>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</si>
  <si>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</si>
  <si>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</si>
  <si>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</si>
  <si>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</si>
  <si>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</si>
  <si>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</si>
  <si>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</si>
  <si>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</si>
  <si>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</si>
  <si>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</si>
  <si>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</si>
  <si>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</si>
  <si>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</si>
  <si>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</si>
  <si>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</si>
  <si>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</si>
  <si>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</si>
  <si>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</si>
  <si>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</si>
  <si>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</si>
  <si>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</si>
  <si>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</si>
  <si>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</si>
  <si>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</si>
  <si>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</si>
  <si>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</si>
  <si>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</si>
  <si>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</si>
  <si>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</si>
  <si>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</si>
  <si>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</si>
  <si>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</si>
  <si>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</si>
  <si>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</si>
  <si>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</si>
  <si>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</si>
  <si>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</si>
  <si>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</si>
  <si>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</si>
  <si>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</si>
  <si>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</si>
  <si>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</si>
  <si>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</si>
  <si>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</si>
  <si>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</si>
  <si>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</si>
  <si>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</si>
  <si>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</si>
  <si>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</si>
  <si>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</si>
  <si>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</si>
  <si>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</si>
  <si>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</si>
  <si>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</si>
  <si>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</si>
  <si>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</si>
  <si>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</si>
  <si>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</si>
  <si>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</si>
  <si>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</si>
  <si>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</si>
  <si>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</si>
  <si>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</si>
  <si>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</si>
  <si>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</si>
  <si>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</si>
  <si>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</si>
  <si>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</si>
  <si>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</si>
  <si>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</si>
  <si>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</si>
  <si>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</si>
  <si>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</si>
  <si>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</si>
  <si>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</si>
  <si>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</si>
  <si>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</si>
  <si>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</si>
  <si>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</si>
  <si>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</si>
  <si>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</si>
  <si>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</si>
  <si>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</si>
  <si>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</si>
  <si>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</si>
  <si>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</si>
  <si>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</si>
  <si>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</si>
  <si>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</si>
  <si>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</si>
  <si>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</si>
  <si>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</si>
  <si>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</si>
  <si>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</si>
  <si>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</si>
  <si>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</si>
  <si>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</si>
  <si>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</si>
  <si>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</si>
  <si>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</si>
  <si>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</si>
  <si>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</si>
  <si>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</si>
  <si>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</si>
  <si>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</si>
  <si>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</si>
  <si>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</si>
  <si>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</si>
  <si>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</si>
  <si>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</si>
  <si>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</si>
  <si>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</si>
  <si>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</si>
  <si>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</si>
  <si>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</si>
  <si>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</si>
  <si>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</si>
  <si>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</si>
  <si>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</si>
  <si>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</si>
  <si>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</si>
  <si>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</si>
  <si>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</si>
  <si>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</si>
  <si>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</si>
  <si>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</si>
  <si>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</si>
  <si>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</si>
  <si>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</si>
  <si>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</si>
  <si>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</si>
  <si>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</si>
  <si>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</si>
  <si>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</si>
  <si>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</si>
  <si>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</si>
  <si>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</si>
  <si>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</si>
  <si>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</si>
  <si>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</si>
  <si>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</si>
  <si>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</si>
  <si>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</si>
  <si>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</si>
  <si>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</si>
  <si>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</si>
  <si>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</si>
  <si>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</si>
  <si>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</si>
  <si>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</si>
  <si>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</si>
  <si>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</si>
  <si>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</si>
  <si>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</si>
  <si>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</si>
  <si>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</si>
  <si>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</si>
  <si>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</si>
  <si>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</si>
  <si>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</si>
  <si>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</si>
  <si>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</si>
  <si>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</si>
  <si>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</si>
  <si>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</si>
  <si>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</si>
  <si>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</si>
  <si>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</si>
  <si>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</si>
  <si>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</si>
  <si>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</si>
  <si>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</si>
  <si>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</si>
  <si>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</si>
  <si>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</si>
  <si>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</si>
  <si>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</si>
  <si>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</si>
  <si>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</si>
  <si>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</si>
  <si>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</si>
  <si>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</si>
  <si>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</si>
  <si>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</si>
  <si>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</si>
  <si>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</si>
  <si>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</si>
  <si>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</si>
  <si>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</si>
  <si>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</si>
  <si>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</si>
  <si>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</si>
  <si>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</si>
  <si>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</si>
  <si>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</si>
  <si>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</si>
  <si>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</si>
  <si>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</si>
  <si>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</si>
  <si>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</si>
  <si>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</si>
  <si>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</si>
  <si>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</si>
  <si>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</si>
  <si>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</si>
  <si>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</si>
  <si>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</si>
  <si>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</si>
  <si>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</si>
  <si>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</si>
  <si>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</si>
  <si>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</si>
  <si>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</si>
  <si>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</si>
  <si>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</si>
  <si>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</si>
  <si>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</si>
  <si>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</si>
  <si>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</si>
  <si>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</si>
  <si>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</si>
  <si>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</si>
  <si>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</si>
  <si>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</si>
  <si>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</si>
  <si>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</si>
  <si>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</si>
  <si>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</si>
  <si>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</si>
  <si>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</si>
  <si>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</si>
  <si>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</si>
  <si>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</si>
  <si>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</si>
  <si>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</si>
  <si>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</si>
  <si>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</si>
  <si>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</si>
  <si>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</si>
  <si>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</si>
  <si>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</si>
  <si>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</si>
  <si>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</si>
  <si>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</si>
  <si>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</si>
  <si>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</si>
  <si>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</si>
  <si>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</si>
  <si>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</si>
  <si>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</si>
  <si>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</si>
  <si>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</si>
  <si>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</si>
  <si>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</si>
  <si>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</si>
  <si>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</si>
  <si>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</si>
  <si>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</si>
  <si>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</si>
  <si>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</si>
  <si>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</si>
  <si>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</si>
  <si>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</si>
  <si>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</si>
  <si>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</si>
  <si>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</si>
  <si>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</si>
  <si>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</si>
  <si>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</si>
  <si>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</si>
  <si>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</si>
  <si>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</si>
  <si>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</si>
  <si>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</si>
  <si>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</si>
  <si>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</si>
  <si>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</si>
  <si>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</si>
  <si>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</si>
  <si>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</si>
  <si>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</si>
  <si>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</si>
  <si>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</si>
  <si>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</si>
  <si>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</si>
  <si>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</si>
  <si>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</si>
  <si>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</si>
  <si>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</si>
  <si>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</si>
  <si>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</si>
  <si>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</si>
  <si>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</si>
  <si>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</si>
  <si>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</si>
  <si>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</si>
  <si>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</si>
  <si>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</si>
  <si>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</si>
  <si>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</si>
  <si>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</si>
  <si>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</si>
  <si>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</si>
  <si>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</si>
  <si>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</si>
  <si>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</si>
  <si>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</si>
  <si>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</si>
  <si>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</si>
  <si>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</si>
  <si>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</si>
  <si>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</si>
  <si>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</si>
  <si>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</si>
  <si>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</si>
  <si>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</si>
  <si>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</si>
  <si>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</si>
  <si>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</si>
  <si>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</si>
  <si>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</si>
  <si>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</si>
  <si>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</si>
  <si>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</si>
  <si>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</si>
  <si>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</si>
  <si>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</si>
  <si>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</si>
  <si>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</si>
  <si>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</si>
  <si>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</si>
  <si>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</si>
  <si>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</si>
  <si>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</si>
  <si>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</si>
  <si>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</si>
  <si>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</si>
  <si>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</si>
  <si>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</si>
  <si>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</si>
  <si>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</si>
  <si>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</si>
  <si>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</si>
  <si>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</si>
  <si>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</si>
  <si>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</si>
  <si>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</si>
  <si>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</si>
  <si>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</si>
  <si>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</si>
  <si>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</si>
  <si>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</si>
  <si>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</si>
  <si>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</si>
  <si>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</si>
  <si>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</si>
  <si>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</si>
  <si>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</si>
  <si>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</si>
  <si>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</si>
  <si>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</si>
  <si>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</si>
  <si>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</si>
  <si>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</si>
  <si>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</si>
  <si>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</si>
  <si>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</si>
  <si>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</si>
  <si>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</si>
  <si>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</si>
  <si>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</si>
  <si>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</si>
  <si>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</si>
  <si>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</si>
  <si>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</si>
  <si>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</si>
  <si>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</si>
  <si>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</si>
  <si>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</si>
  <si>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</si>
  <si>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</si>
  <si>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</si>
  <si>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</si>
  <si>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</si>
  <si>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</si>
  <si>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</si>
  <si>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</si>
  <si>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</si>
  <si>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</si>
  <si>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</si>
  <si>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</si>
  <si>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</si>
  <si>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</si>
  <si>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</si>
  <si>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</si>
  <si>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</si>
  <si>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</si>
  <si>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</si>
  <si>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</si>
  <si>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</si>
  <si>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</si>
  <si>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</si>
  <si>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</si>
  <si>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</si>
  <si>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</si>
  <si>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</si>
  <si>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</si>
  <si>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</si>
  <si>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</si>
  <si>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</si>
  <si>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</si>
  <si>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</si>
  <si>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</si>
  <si>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</si>
  <si>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</si>
  <si>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</si>
  <si>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</si>
  <si>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</si>
  <si>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</si>
  <si>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</si>
  <si>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</si>
  <si>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</si>
  <si>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</si>
  <si>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</si>
  <si>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</si>
  <si>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</si>
  <si>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</si>
  <si>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</si>
  <si>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</si>
  <si>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</si>
  <si>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</si>
  <si>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</si>
  <si>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</si>
  <si>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</si>
  <si>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</si>
  <si>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</si>
  <si>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</si>
  <si>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</si>
  <si>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</si>
  <si>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</si>
  <si>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</si>
  <si>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</si>
  <si>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</si>
  <si>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</si>
  <si>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</si>
  <si>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</si>
  <si>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</si>
  <si>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</si>
  <si>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</si>
  <si>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</si>
  <si>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</si>
  <si>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</si>
  <si>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</si>
  <si>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</si>
  <si>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</si>
  <si>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</si>
  <si>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</si>
  <si>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</si>
  <si>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</si>
  <si>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</si>
  <si>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</si>
  <si>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</si>
  <si>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</si>
  <si>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</si>
  <si>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</si>
  <si>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</si>
  <si>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</si>
  <si>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</si>
  <si>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</si>
  <si>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</si>
  <si>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</si>
  <si>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</si>
  <si>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</si>
  <si>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</si>
  <si>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</si>
  <si>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</si>
  <si>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</si>
  <si>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</si>
  <si>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</si>
  <si>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</si>
  <si>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</si>
  <si>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</si>
  <si>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</si>
  <si>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</si>
  <si>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</si>
  <si>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</si>
  <si>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</si>
  <si>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</si>
  <si>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</si>
  <si>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</si>
  <si>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</si>
  <si>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</si>
  <si>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</si>
  <si>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</si>
  <si>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</si>
  <si>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</si>
  <si>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</si>
  <si>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</si>
  <si>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</si>
  <si>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</si>
  <si>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</si>
  <si>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</si>
  <si>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</si>
  <si>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</si>
  <si>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</si>
  <si>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</si>
  <si>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</si>
  <si>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</si>
  <si>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</si>
  <si>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</si>
  <si>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</si>
  <si>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</si>
  <si>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</si>
  <si>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</si>
  <si>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</si>
  <si>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</si>
  <si>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</si>
  <si>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</si>
  <si>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</si>
  <si>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</si>
  <si>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</si>
  <si>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</si>
  <si>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</si>
  <si>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</si>
  <si>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</si>
  <si>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</si>
  <si>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</si>
  <si>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</si>
  <si>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</si>
  <si>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</si>
  <si>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</si>
  <si>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</si>
  <si>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</si>
  <si>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</si>
  <si>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</si>
  <si>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</si>
  <si>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</si>
  <si>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</si>
  <si>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</si>
  <si>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</si>
  <si>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</si>
  <si>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</si>
  <si>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</si>
  <si>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</si>
  <si>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</si>
  <si>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</si>
  <si>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</si>
  <si>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</si>
  <si>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</si>
  <si>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</si>
  <si>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</si>
  <si>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</si>
  <si>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</si>
  <si>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</si>
  <si>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</si>
  <si>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</si>
  <si>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</si>
  <si>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</si>
  <si>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</si>
  <si>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</si>
  <si>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</si>
  <si>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</si>
  <si>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</si>
  <si>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</si>
  <si>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</si>
  <si>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</si>
  <si>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</si>
  <si>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</si>
  <si>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</si>
  <si>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</si>
  <si>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</si>
  <si>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</si>
  <si>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</si>
  <si>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</si>
  <si>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</si>
  <si>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</si>
  <si>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</si>
  <si>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</si>
  <si>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</si>
  <si>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</si>
  <si>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</si>
  <si>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</si>
  <si>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</si>
  <si>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</si>
  <si>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</si>
  <si>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</si>
  <si>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</si>
  <si>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</si>
  <si>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</si>
  <si>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</si>
  <si>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</si>
  <si>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</si>
  <si>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</si>
  <si>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</si>
  <si>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</si>
  <si>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</si>
  <si>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</si>
  <si>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</si>
  <si>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</si>
  <si>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</si>
  <si>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</si>
  <si>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</si>
  <si>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</si>
  <si>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</si>
  <si>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</si>
  <si>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</si>
  <si>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</si>
  <si>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</si>
  <si>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</si>
  <si>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</si>
  <si>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</si>
  <si>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</si>
  <si>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</si>
  <si>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</si>
  <si>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</si>
  <si>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</si>
  <si>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</si>
  <si>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</si>
  <si>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</si>
  <si>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</si>
  <si>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</si>
  <si>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</si>
  <si>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</si>
  <si>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</si>
  <si>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</si>
  <si>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</si>
  <si>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</si>
  <si>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</si>
  <si>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</si>
  <si>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</si>
  <si>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</si>
  <si>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</si>
  <si>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</si>
  <si>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</si>
  <si>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</si>
  <si>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</si>
  <si>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</si>
  <si>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</si>
  <si>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</si>
  <si>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</si>
  <si>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</si>
  <si>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</si>
  <si>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</si>
  <si>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</si>
  <si>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</si>
  <si>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</si>
  <si>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</si>
  <si>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</si>
  <si>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</si>
  <si>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</si>
  <si>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</si>
  <si>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</si>
  <si>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</si>
  <si>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</si>
  <si>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</si>
  <si>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</si>
  <si>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</si>
  <si>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</si>
  <si>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</si>
  <si>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</si>
  <si>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</si>
  <si>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</si>
  <si>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</si>
  <si>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</si>
  <si>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</si>
  <si>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</si>
  <si>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</si>
  <si>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</si>
  <si>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</si>
  <si>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</si>
  <si>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</si>
  <si>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</si>
  <si>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</si>
  <si>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</si>
  <si>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</si>
  <si>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</si>
  <si>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</si>
  <si>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</si>
  <si>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</si>
  <si>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</si>
  <si>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</si>
  <si>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</si>
  <si>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</si>
  <si>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</si>
  <si>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</si>
  <si>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</si>
  <si>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</si>
  <si>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</si>
  <si>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</si>
  <si>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</si>
  <si>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</si>
  <si>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</si>
  <si>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</si>
  <si>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</si>
  <si>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</si>
  <si>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</si>
  <si>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</si>
  <si>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</si>
  <si>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</si>
  <si>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</si>
  <si>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</si>
  <si>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</si>
  <si>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</si>
  <si>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</si>
  <si>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</si>
  <si>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</si>
  <si>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</si>
  <si>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</si>
  <si>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</si>
  <si>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</si>
  <si>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</si>
  <si>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</si>
  <si>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</si>
  <si>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</si>
  <si>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</si>
  <si>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</si>
  <si>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</si>
  <si>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</si>
  <si>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</si>
  <si>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</si>
  <si>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</si>
  <si>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</si>
  <si>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</si>
  <si>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</si>
  <si>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</si>
  <si>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</si>
  <si>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</si>
  <si>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</si>
  <si>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</si>
  <si>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</si>
  <si>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</si>
  <si>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</si>
  <si>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</si>
  <si>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</si>
  <si>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</si>
  <si>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</si>
  <si>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</si>
  <si>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</si>
  <si>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</si>
  <si>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</si>
  <si>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</si>
  <si>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</si>
  <si>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</si>
  <si>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</si>
  <si>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</si>
  <si>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</si>
  <si>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</si>
  <si>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</si>
  <si>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</si>
  <si>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</si>
  <si>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</si>
  <si>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</si>
  <si>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</si>
  <si>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</si>
  <si>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</si>
  <si>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</si>
  <si>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</si>
  <si>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</si>
  <si>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</si>
  <si>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</si>
  <si>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</si>
  <si>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</si>
  <si>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</si>
  <si>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</si>
  <si>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</si>
  <si>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</si>
  <si>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</si>
  <si>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</si>
  <si>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</si>
  <si>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</si>
  <si>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</si>
  <si>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</si>
  <si>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</si>
  <si>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</si>
  <si>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</si>
  <si>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</si>
  <si>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</si>
  <si>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</si>
  <si>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</si>
  <si>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</si>
  <si>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</si>
  <si>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</si>
  <si>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</si>
  <si>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</si>
  <si>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</si>
  <si>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</si>
  <si>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</si>
  <si>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</si>
  <si>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</si>
  <si>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</si>
  <si>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</si>
  <si>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</si>
  <si>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</si>
  <si>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</si>
  <si>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</si>
  <si>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</si>
  <si>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</si>
  <si>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</si>
  <si>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</si>
  <si>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</si>
  <si>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</si>
  <si>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</si>
  <si>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</si>
  <si>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</si>
  <si>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</si>
  <si>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</si>
  <si>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</si>
  <si>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</si>
  <si>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</si>
  <si>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</si>
  <si>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</si>
  <si>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</si>
  <si>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</si>
  <si>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</si>
  <si>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</si>
  <si>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</si>
  <si>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</si>
  <si>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</si>
  <si>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</si>
  <si>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</si>
  <si>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</si>
  <si>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</si>
  <si>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</si>
  <si>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</si>
  <si>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</si>
  <si>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</si>
  <si>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</si>
  <si>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</si>
  <si>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</si>
  <si>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</si>
  <si>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</si>
  <si>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</si>
  <si>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</si>
  <si>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</si>
  <si>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</si>
  <si>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</si>
  <si>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</si>
  <si>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</si>
  <si>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</si>
  <si>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</si>
  <si>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</si>
  <si>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</si>
  <si>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</si>
  <si>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</si>
  <si>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</si>
  <si>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</si>
  <si>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</si>
  <si>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</si>
  <si>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</si>
  <si>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</si>
  <si>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</si>
  <si>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</si>
  <si>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</si>
  <si>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</si>
  <si>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</si>
  <si>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</si>
  <si>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</si>
  <si>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</si>
  <si>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</si>
  <si>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</si>
  <si>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</si>
  <si>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</si>
  <si>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</si>
  <si>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</si>
  <si>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</si>
  <si>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</si>
  <si>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</si>
  <si>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</si>
  <si>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</si>
  <si>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</si>
  <si>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</si>
  <si>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</si>
  <si>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</si>
  <si>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</si>
  <si>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</si>
  <si>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</si>
  <si>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</si>
  <si>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</si>
  <si>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</si>
  <si>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</si>
  <si>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</si>
  <si>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</si>
  <si>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</si>
  <si>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</si>
  <si>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</si>
  <si>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</si>
  <si>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</si>
  <si>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</si>
  <si>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</si>
  <si>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</si>
  <si>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</si>
  <si>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</si>
  <si>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</si>
  <si>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</si>
  <si>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</si>
  <si>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</si>
  <si>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</si>
  <si>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</si>
  <si>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</si>
  <si>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</si>
  <si>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</si>
  <si>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</si>
  <si>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</si>
  <si>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</si>
  <si>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</si>
  <si>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</si>
  <si>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</si>
  <si>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</si>
  <si>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</si>
  <si>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</si>
  <si>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</si>
  <si>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</si>
  <si>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</si>
  <si>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</si>
  <si>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</si>
  <si>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</si>
  <si>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</si>
  <si>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</si>
  <si>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</si>
  <si>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</si>
  <si>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</si>
  <si>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</si>
  <si>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</si>
  <si>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</si>
  <si>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</si>
  <si>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</si>
  <si>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</si>
  <si>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</si>
  <si>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</si>
  <si>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</si>
  <si>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</si>
  <si>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</si>
  <si>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</si>
  <si>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</si>
  <si>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</si>
  <si>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</si>
  <si>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</si>
  <si>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</si>
  <si>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</si>
  <si>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</si>
  <si>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</si>
  <si>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</si>
  <si>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</si>
  <si>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</si>
  <si>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</si>
  <si>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</si>
  <si>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</si>
  <si>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</si>
  <si>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</si>
  <si>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</si>
  <si>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</si>
  <si>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</si>
  <si>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</si>
  <si>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</si>
  <si>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</si>
  <si>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</si>
  <si>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</si>
  <si>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</si>
  <si>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</si>
  <si>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</si>
  <si>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</si>
  <si>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</si>
  <si>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</si>
  <si>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</si>
  <si>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</si>
  <si>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</si>
  <si>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</si>
  <si>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</si>
  <si>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</si>
  <si>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</si>
  <si>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</si>
  <si>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</si>
  <si>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</si>
  <si>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</si>
  <si>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</si>
  <si>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</si>
  <si>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</si>
  <si>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</si>
  <si>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</si>
  <si>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</si>
  <si>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</si>
  <si>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</si>
  <si>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</si>
  <si>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</si>
  <si>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</si>
  <si>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</si>
  <si>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</si>
  <si>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</si>
  <si>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</si>
  <si>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</si>
  <si>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</si>
  <si>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</si>
  <si>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</si>
  <si>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</si>
  <si>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</si>
  <si>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</si>
  <si>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</si>
  <si>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</si>
  <si>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</si>
  <si>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</si>
  <si>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</si>
  <si>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</si>
  <si>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</si>
  <si>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</si>
  <si>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</si>
  <si>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</si>
  <si>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</si>
  <si>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</si>
  <si>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</si>
  <si>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</si>
  <si>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</si>
  <si>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</si>
  <si>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</si>
  <si>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</si>
  <si>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</si>
  <si>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</si>
  <si>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</si>
  <si>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</si>
  <si>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</si>
  <si>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</si>
  <si>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</si>
  <si>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</si>
  <si>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</si>
  <si>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</si>
  <si>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</si>
  <si>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</si>
  <si>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</si>
  <si>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</si>
  <si>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</si>
  <si>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</si>
  <si>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</si>
  <si>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</si>
  <si>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</si>
  <si>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</si>
  <si>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</si>
  <si>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</si>
  <si>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</si>
  <si>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</si>
  <si>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</si>
  <si>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</si>
  <si>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</si>
  <si>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</si>
  <si>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</si>
  <si>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</si>
  <si>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</si>
  <si>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</si>
  <si>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</si>
  <si>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</si>
  <si>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</si>
  <si>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</si>
  <si>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</si>
  <si>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</si>
  <si>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</si>
  <si>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</si>
  <si>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</si>
  <si>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</si>
  <si>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</si>
  <si>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</si>
  <si>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</si>
  <si>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</si>
  <si>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</si>
  <si>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</si>
  <si>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</si>
  <si>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</si>
  <si>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</si>
  <si>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</si>
  <si>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</si>
  <si>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</si>
  <si>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</si>
  <si>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</si>
  <si>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</si>
  <si>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</si>
  <si>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</si>
  <si>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</si>
  <si>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</si>
  <si>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</si>
  <si>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</si>
  <si>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</si>
  <si>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</si>
  <si>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</si>
  <si>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</si>
  <si>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</si>
  <si>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</si>
  <si>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</si>
  <si>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</si>
  <si>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</si>
  <si>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</si>
  <si>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</si>
  <si>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</si>
  <si>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</si>
  <si>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</si>
  <si>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</si>
  <si>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</si>
  <si>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</si>
  <si>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</si>
  <si>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</si>
  <si>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</si>
  <si>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</si>
  <si>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</si>
  <si>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</si>
  <si>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</si>
  <si>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</si>
  <si>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</si>
  <si>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</si>
  <si>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</si>
  <si>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</si>
  <si>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</si>
  <si>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</si>
  <si>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</si>
  <si>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</si>
  <si>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</si>
  <si>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</si>
  <si>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</si>
  <si>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</si>
  <si>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</si>
  <si>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</si>
  <si>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</si>
  <si>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</si>
  <si>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</si>
  <si>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</si>
  <si>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</si>
  <si>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</si>
  <si>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</si>
  <si>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</si>
  <si>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</si>
  <si>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</si>
  <si>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</si>
  <si>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</si>
  <si>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</si>
  <si>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</si>
  <si>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</si>
  <si>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</si>
  <si>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</si>
  <si>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</si>
  <si>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</si>
  <si>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</si>
  <si>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</si>
  <si>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</si>
  <si>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</si>
  <si>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</si>
  <si>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</si>
  <si>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</si>
  <si>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</si>
  <si>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</si>
  <si>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</si>
  <si>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</si>
  <si>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</si>
  <si>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</si>
  <si>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</si>
  <si>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</si>
  <si>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</si>
  <si>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</si>
  <si>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</si>
  <si>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</si>
  <si>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</si>
  <si>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</si>
  <si>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</si>
  <si>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</si>
  <si>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</si>
  <si>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</si>
  <si>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</si>
  <si>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</si>
  <si>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</si>
  <si>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</si>
  <si>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</si>
  <si>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</si>
  <si>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</si>
  <si>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</si>
  <si>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</si>
  <si>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</si>
  <si>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</si>
  <si>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</si>
  <si>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</si>
  <si>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</si>
  <si>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</si>
  <si>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</si>
  <si>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</si>
  <si>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</si>
  <si>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</si>
  <si>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</si>
  <si>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</si>
  <si>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</si>
  <si>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</si>
  <si>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</si>
  <si>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</si>
  <si>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</si>
  <si>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</si>
  <si>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</si>
  <si>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</si>
  <si>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</si>
  <si>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</si>
  <si>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</si>
  <si>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</si>
  <si>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</si>
  <si>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</si>
  <si>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</si>
  <si>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</si>
  <si>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</si>
  <si>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</si>
  <si>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</si>
  <si>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</si>
  <si>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</si>
  <si>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</si>
  <si>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</si>
  <si>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</si>
  <si>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</si>
  <si>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</si>
  <si>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</si>
  <si>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</si>
  <si>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</si>
  <si>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</si>
  <si>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</si>
  <si>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</si>
  <si>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</si>
  <si>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</si>
  <si>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</si>
  <si>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</si>
  <si>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</si>
  <si>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</si>
  <si>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</si>
  <si>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</si>
  <si>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</si>
  <si>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</si>
  <si>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</si>
  <si>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</si>
  <si>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</si>
  <si>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</si>
  <si>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</si>
  <si>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</si>
  <si>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</si>
  <si>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</si>
  <si>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</si>
  <si>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</si>
  <si>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</si>
  <si>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</si>
  <si>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</si>
  <si>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</si>
  <si>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</si>
  <si>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</si>
  <si>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</si>
  <si>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</si>
  <si>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</si>
  <si>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</si>
  <si>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</si>
  <si>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</si>
  <si>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</si>
  <si>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</si>
  <si>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</si>
  <si>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</si>
  <si>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</si>
  <si>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</si>
  <si>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</si>
  <si>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</si>
  <si>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</si>
  <si>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</si>
  <si>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</si>
  <si>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</si>
  <si>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</si>
  <si>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</si>
  <si>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</si>
  <si>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</si>
  <si>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</si>
  <si>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</si>
  <si>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</si>
  <si>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</si>
  <si>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</si>
  <si>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</si>
  <si>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</si>
  <si>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</si>
  <si>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</si>
  <si>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</si>
  <si>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</si>
  <si>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</si>
  <si>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</si>
  <si>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</si>
  <si>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</si>
  <si>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</si>
  <si>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</si>
  <si>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</si>
  <si>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</si>
  <si>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</si>
  <si>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</si>
  <si>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</si>
  <si>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</si>
  <si>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</si>
  <si>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</si>
  <si>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</si>
  <si>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</si>
  <si>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</si>
  <si>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</si>
  <si>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</si>
  <si>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</si>
  <si>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</si>
  <si>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</si>
  <si>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</si>
  <si>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</si>
  <si>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</si>
  <si>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</si>
  <si>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</si>
  <si>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</si>
  <si>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</si>
  <si>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</si>
  <si>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</si>
  <si>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</si>
  <si>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</si>
  <si>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</si>
  <si>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</si>
  <si>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</si>
  <si>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</si>
  <si>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</si>
  <si>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</si>
  <si>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</si>
  <si>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</si>
  <si>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</si>
  <si>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</si>
  <si>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</si>
  <si>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</si>
  <si>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</si>
  <si>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</si>
  <si>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</si>
  <si>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</si>
  <si>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</si>
  <si>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</si>
  <si>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</si>
  <si>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</si>
  <si>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</si>
  <si>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</si>
  <si>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</si>
  <si>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</si>
  <si>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</si>
  <si>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</si>
  <si>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</si>
  <si>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</si>
  <si>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</si>
  <si>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</si>
  <si>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</si>
  <si>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</si>
  <si>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</si>
  <si>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</si>
  <si>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</si>
  <si>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</si>
  <si>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</si>
  <si>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</si>
  <si>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</si>
  <si>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</si>
  <si>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</si>
  <si>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</si>
  <si>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</si>
  <si>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</si>
  <si>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</si>
  <si>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</si>
  <si>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</si>
  <si>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</si>
  <si>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</si>
  <si>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</si>
  <si>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</si>
  <si>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</si>
  <si>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</si>
  <si>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</si>
  <si>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</si>
  <si>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</si>
  <si>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</si>
  <si>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</si>
  <si>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</si>
  <si>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</si>
  <si>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</si>
  <si>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</si>
  <si>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</si>
  <si>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</si>
  <si>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</si>
  <si>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</si>
  <si>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</si>
  <si>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</si>
  <si>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</si>
  <si>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</si>
  <si>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</si>
  <si>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</si>
  <si>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</si>
  <si>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</si>
  <si>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</si>
  <si>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</si>
  <si>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</si>
  <si>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</si>
  <si>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</si>
  <si>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</si>
  <si>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</si>
  <si>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</si>
  <si>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</si>
  <si>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</si>
  <si>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</si>
  <si>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</si>
  <si>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</si>
  <si>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</si>
  <si>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</si>
  <si>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</si>
  <si>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</si>
  <si>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</si>
  <si>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</si>
  <si>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</si>
  <si>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</si>
  <si>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</si>
  <si>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</si>
  <si>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</si>
  <si>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</si>
  <si>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</si>
  <si>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</si>
  <si>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</si>
  <si>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</si>
  <si>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</si>
  <si>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</si>
  <si>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</si>
  <si>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</si>
  <si>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</si>
  <si>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</si>
  <si>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</si>
  <si>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</si>
  <si>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</si>
  <si>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</si>
  <si>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</si>
  <si>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</si>
  <si>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</si>
  <si>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</si>
  <si>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</si>
  <si>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</si>
  <si>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</si>
  <si>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</si>
  <si>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</si>
  <si>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</si>
  <si>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</si>
  <si>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</si>
  <si>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</si>
  <si>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</si>
  <si>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</si>
  <si>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</si>
  <si>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</si>
  <si>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</si>
  <si>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</si>
  <si>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</si>
  <si>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</si>
  <si>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</si>
  <si>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</si>
  <si>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</si>
  <si>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</si>
  <si>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</si>
  <si>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</si>
  <si>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</si>
  <si>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</si>
  <si>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</si>
  <si>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</si>
  <si>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</si>
  <si>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</si>
  <si>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</si>
  <si>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</si>
  <si>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</si>
  <si>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</si>
  <si>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</si>
  <si>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</si>
  <si>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</si>
  <si>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</si>
  <si>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</si>
  <si>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</si>
  <si>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</si>
  <si>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</si>
  <si>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</si>
  <si>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</si>
  <si>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</si>
  <si>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</si>
  <si>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</si>
  <si>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</si>
  <si>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</si>
  <si>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</si>
  <si>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</si>
  <si>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</si>
  <si>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</si>
  <si>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</si>
  <si>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</si>
  <si>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</si>
  <si>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</si>
  <si>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</si>
  <si>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</si>
  <si>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</si>
  <si>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</si>
  <si>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</si>
  <si>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</si>
  <si>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</si>
  <si>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</si>
  <si>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</si>
  <si>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</si>
  <si>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</si>
  <si>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</si>
  <si>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</si>
  <si>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</si>
  <si>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</si>
  <si>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</si>
  <si>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</si>
  <si>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</si>
  <si>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</si>
  <si>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</si>
  <si>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</si>
  <si>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</si>
  <si>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</si>
  <si>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</si>
  <si>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</si>
  <si>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</si>
  <si>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</si>
  <si>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</si>
  <si>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</si>
  <si>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</si>
  <si>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</si>
  <si>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</si>
  <si>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</si>
  <si>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</si>
  <si>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</si>
  <si>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</si>
  <si>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</si>
  <si>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</si>
  <si>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</si>
  <si>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</si>
  <si>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</si>
  <si>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</si>
  <si>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</si>
  <si>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</si>
  <si>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</si>
  <si>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</si>
  <si>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</si>
  <si>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</si>
  <si>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</si>
  <si>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</si>
  <si>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</si>
  <si>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</si>
  <si>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</si>
  <si>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</si>
  <si>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</si>
  <si>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</si>
  <si>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</si>
  <si>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</si>
  <si>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</si>
  <si>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</si>
  <si>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</si>
  <si>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</si>
  <si>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</si>
  <si>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</si>
  <si>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</si>
  <si>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</si>
  <si>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</si>
  <si>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</si>
  <si>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</si>
  <si>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</si>
  <si>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</si>
  <si>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</si>
  <si>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</si>
  <si>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</si>
  <si>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</si>
  <si>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</si>
  <si>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</si>
  <si>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</si>
  <si>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</si>
  <si>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</si>
  <si>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</si>
  <si>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</si>
  <si>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</si>
  <si>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</si>
  <si>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</si>
  <si>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</si>
  <si>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</si>
  <si>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</si>
  <si>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</si>
  <si>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</si>
  <si>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</si>
  <si>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</si>
  <si>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</si>
  <si>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</si>
  <si>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</si>
  <si>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</si>
  <si>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</si>
  <si>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</si>
  <si>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</si>
  <si>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</si>
  <si>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</si>
  <si>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</si>
  <si>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</si>
  <si>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</si>
  <si>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</si>
  <si>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</si>
  <si>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</si>
  <si>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</si>
  <si>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</si>
  <si>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</si>
  <si>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</si>
  <si>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</si>
  <si>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</si>
  <si>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</si>
  <si>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</si>
  <si>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</si>
  <si>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</si>
  <si>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</si>
  <si>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</si>
  <si>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</si>
  <si>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</si>
  <si>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</si>
  <si>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</si>
  <si>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</si>
  <si>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</si>
  <si>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</si>
  <si>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</si>
  <si>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</si>
  <si>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</si>
  <si>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</si>
  <si>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</si>
  <si>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</si>
  <si>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</si>
  <si>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</si>
  <si>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</si>
  <si>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</si>
  <si>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</si>
  <si>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</si>
  <si>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</si>
  <si>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</si>
  <si>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</si>
  <si>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</si>
  <si>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</si>
  <si>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</si>
  <si>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</si>
  <si>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</si>
  <si>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</si>
  <si>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</si>
  <si>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</si>
  <si>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</si>
  <si>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</si>
  <si>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</si>
  <si>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</si>
  <si>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</si>
  <si>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</si>
  <si>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</si>
  <si>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</si>
  <si>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</si>
  <si>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</si>
  <si>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</si>
  <si>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</si>
  <si>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</si>
  <si>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</si>
  <si>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</si>
  <si>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</si>
  <si>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</si>
  <si>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</si>
  <si>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</si>
  <si>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</si>
  <si>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</si>
  <si>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</si>
  <si>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</si>
  <si>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</si>
  <si>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</si>
  <si>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</si>
  <si>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</si>
  <si>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</si>
  <si>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</si>
  <si>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</si>
  <si>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</si>
  <si>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</si>
  <si>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</si>
  <si>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</si>
  <si>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</si>
  <si>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</si>
  <si>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</si>
  <si>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</si>
  <si>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</si>
  <si>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</si>
  <si>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</si>
  <si>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</si>
  <si>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</si>
  <si>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</si>
  <si>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</si>
  <si>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</si>
  <si>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</si>
  <si>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</si>
  <si>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</si>
  <si>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</si>
  <si>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</si>
  <si>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</si>
  <si>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</si>
  <si>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</si>
  <si>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</si>
  <si>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</si>
  <si>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</si>
  <si>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</si>
  <si>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</si>
  <si>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</si>
  <si>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</si>
  <si>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</si>
  <si>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</si>
  <si>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</si>
  <si>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</si>
  <si>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</si>
  <si>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</si>
  <si>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</si>
  <si>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</si>
  <si>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</si>
  <si>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</si>
  <si>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</si>
  <si>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</si>
  <si>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</si>
  <si>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</si>
  <si>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</si>
  <si>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</si>
  <si>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</si>
  <si>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</si>
  <si>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</si>
  <si>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</si>
  <si>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</si>
  <si>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</si>
  <si>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</si>
  <si>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</si>
  <si>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</si>
  <si>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</si>
  <si>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</si>
  <si>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</si>
  <si>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</si>
  <si>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</si>
  <si>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</si>
  <si>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</si>
  <si>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</si>
  <si>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</si>
  <si>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</si>
  <si>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</si>
  <si>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</si>
  <si>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</si>
  <si>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</si>
  <si>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</si>
  <si>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</si>
  <si>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</si>
  <si>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</si>
  <si>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</si>
  <si>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</si>
  <si>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</si>
  <si>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</si>
  <si>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</si>
  <si>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</si>
  <si>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</si>
  <si>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</si>
  <si>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</si>
  <si>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</si>
  <si>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</si>
  <si>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</si>
  <si>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</si>
  <si>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</si>
  <si>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</si>
  <si>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</si>
  <si>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</si>
  <si>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</si>
  <si>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</si>
  <si>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</si>
  <si>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</si>
  <si>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</si>
  <si>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</si>
  <si>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</si>
  <si>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</si>
  <si>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</si>
  <si>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</si>
  <si>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</si>
  <si>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</si>
  <si>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</si>
  <si>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</si>
  <si>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</si>
  <si>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</si>
  <si>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</si>
  <si>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</si>
  <si>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</si>
  <si>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</si>
  <si>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</si>
  <si>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</si>
  <si>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</si>
  <si>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</si>
  <si>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</si>
  <si>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</si>
  <si>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</si>
  <si>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</si>
  <si>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</si>
  <si>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</si>
  <si>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</si>
  <si>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</si>
  <si>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</si>
  <si>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</si>
  <si>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</si>
  <si>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</si>
  <si>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</si>
  <si>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</si>
  <si>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</si>
  <si>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</si>
  <si>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</si>
  <si>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</si>
  <si>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</si>
  <si>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</si>
  <si>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</si>
  <si>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</si>
  <si>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</si>
  <si>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</si>
  <si>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</si>
  <si>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</si>
  <si>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</si>
  <si>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</si>
  <si>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</si>
  <si>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</si>
  <si>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</si>
  <si>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</si>
  <si>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</si>
  <si>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</si>
  <si>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</si>
  <si>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</si>
  <si>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</si>
  <si>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</si>
  <si>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</si>
  <si>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</si>
  <si>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</si>
  <si>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</si>
  <si>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</si>
  <si>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</si>
  <si>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</si>
  <si>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</si>
  <si>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</si>
  <si>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</si>
  <si>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</si>
  <si>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</si>
  <si>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</si>
  <si>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</si>
  <si>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</si>
  <si>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</si>
  <si>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</si>
  <si>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</si>
  <si>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</si>
  <si>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</si>
  <si>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</si>
  <si>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</si>
  <si>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</si>
  <si>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</si>
  <si>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</si>
  <si>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</si>
  <si>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</si>
  <si>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</si>
  <si>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</si>
  <si>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</si>
  <si>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</si>
  <si>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</si>
  <si>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</si>
  <si>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</si>
  <si>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</si>
  <si>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</si>
  <si>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</si>
  <si>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</si>
  <si>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</si>
  <si>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</si>
  <si>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</si>
  <si>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</si>
  <si>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</si>
  <si>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</si>
  <si>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</si>
  <si>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</si>
  <si>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</si>
  <si>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</si>
  <si>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</si>
  <si>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</si>
  <si>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</si>
  <si>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</si>
  <si>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</si>
  <si>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</si>
  <si>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</si>
  <si>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</si>
  <si>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</si>
  <si>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</si>
  <si>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</si>
  <si>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</si>
  <si>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</si>
  <si>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</si>
  <si>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</si>
  <si>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</si>
  <si>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</si>
  <si>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</si>
  <si>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</si>
  <si>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</si>
  <si>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</si>
  <si>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</si>
  <si>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</si>
  <si>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</si>
  <si>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</si>
  <si>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</si>
  <si>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</si>
  <si>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</si>
  <si>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</si>
  <si>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</si>
  <si>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</si>
  <si>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</si>
  <si>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</si>
  <si>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</si>
  <si>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</si>
  <si>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</si>
  <si>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</si>
  <si>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</si>
  <si>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</si>
  <si>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</si>
  <si>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</si>
  <si>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</si>
  <si>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</si>
  <si>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</si>
  <si>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</si>
  <si>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</si>
  <si>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</si>
  <si>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</si>
  <si>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</si>
  <si>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</si>
  <si>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</si>
  <si>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</si>
  <si>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</si>
  <si>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</si>
  <si>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</si>
  <si>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</si>
  <si>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</si>
  <si>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</si>
  <si>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</si>
  <si>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</si>
  <si>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</si>
  <si>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</si>
  <si>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</si>
  <si>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</si>
  <si>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</si>
  <si>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</si>
  <si>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</si>
  <si>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</si>
  <si>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</si>
  <si>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</si>
  <si>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</si>
  <si>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</si>
  <si>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</si>
  <si>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</si>
  <si>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</si>
  <si>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</si>
  <si>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</si>
  <si>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</si>
  <si>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</si>
  <si>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</si>
  <si>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</si>
  <si>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</si>
  <si>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</si>
  <si>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</si>
  <si>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</si>
  <si>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</si>
  <si>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</si>
  <si>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</si>
  <si>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</si>
  <si>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</si>
  <si>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</si>
  <si>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</si>
  <si>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</si>
  <si>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</si>
  <si>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</si>
  <si>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</si>
  <si>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</si>
  <si>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</si>
  <si>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</si>
  <si>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</si>
  <si>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</si>
  <si>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</si>
  <si>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</si>
  <si>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</si>
  <si>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</si>
  <si>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</si>
  <si>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</si>
  <si>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</si>
  <si>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</si>
  <si>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</si>
  <si>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</si>
  <si>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</si>
  <si>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</si>
  <si>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</si>
  <si>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</si>
  <si>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</si>
  <si>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</si>
  <si>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</si>
  <si>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</si>
  <si>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</si>
  <si>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</si>
  <si>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</si>
  <si>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</si>
  <si>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</si>
  <si>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</si>
  <si>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</si>
  <si>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</si>
  <si>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</si>
  <si>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</si>
  <si>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</si>
  <si>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</si>
  <si>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</si>
  <si>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</si>
  <si>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</si>
  <si>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</si>
  <si>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</si>
  <si>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</si>
  <si>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</si>
  <si>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</si>
  <si>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</si>
  <si>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</si>
  <si>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</si>
  <si>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</si>
  <si>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</si>
  <si>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</si>
  <si>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</si>
  <si>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</si>
  <si>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</si>
  <si>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</si>
  <si>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</si>
  <si>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</si>
  <si>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</si>
  <si>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</si>
  <si>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</si>
  <si>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</si>
  <si>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</si>
  <si>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</si>
  <si>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</si>
  <si>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</si>
  <si>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</si>
  <si>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</si>
  <si>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</si>
  <si>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</si>
  <si>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</si>
  <si>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</si>
  <si>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</si>
  <si>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</si>
  <si>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</si>
  <si>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</si>
  <si>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</si>
  <si>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</si>
  <si>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</si>
  <si>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</si>
  <si>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</si>
  <si>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</si>
  <si>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</si>
  <si>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</si>
  <si>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</si>
  <si>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</si>
  <si>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</si>
  <si>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</si>
  <si>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</si>
  <si>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</si>
  <si>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</si>
  <si>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</si>
  <si>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</si>
  <si>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</si>
  <si>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</si>
  <si>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</si>
  <si>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</si>
  <si>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</si>
  <si>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</si>
  <si>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</si>
  <si>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</si>
  <si>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</si>
  <si>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</si>
  <si>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</si>
  <si>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</si>
  <si>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</si>
  <si>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</si>
  <si>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</si>
  <si>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</si>
  <si>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</si>
  <si>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</si>
  <si>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</si>
  <si>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</si>
  <si>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</si>
  <si>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</si>
  <si>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</si>
  <si>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</si>
  <si>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</si>
  <si>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</si>
  <si>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</si>
  <si>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</si>
  <si>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</si>
  <si>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</si>
  <si>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</si>
  <si>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</si>
  <si>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</si>
  <si>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</si>
  <si>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</si>
  <si>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</si>
  <si>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</si>
  <si>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</si>
  <si>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</si>
  <si>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</si>
  <si>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</si>
  <si>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</si>
  <si>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</si>
  <si>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</si>
  <si>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</si>
  <si>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</si>
  <si>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</si>
  <si>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</si>
  <si>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</si>
  <si>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</si>
  <si>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</si>
  <si>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</si>
  <si>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</si>
  <si>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</si>
  <si>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</si>
  <si>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</si>
  <si>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</si>
  <si>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</si>
  <si>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</si>
  <si>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</si>
  <si>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</si>
  <si>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</si>
  <si>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</si>
  <si>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</si>
  <si>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</si>
  <si>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</si>
  <si>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</si>
  <si>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</si>
  <si>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</si>
  <si>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</si>
  <si>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</si>
  <si>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</si>
  <si>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</si>
  <si>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</si>
  <si>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</si>
  <si>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</si>
  <si>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</si>
  <si>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</si>
  <si>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</si>
  <si>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</si>
  <si>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</si>
  <si>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</si>
  <si>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</si>
  <si>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</si>
  <si>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</si>
  <si>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</si>
  <si>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</si>
  <si>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</si>
  <si>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</si>
  <si>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</si>
  <si>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</si>
  <si>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</si>
  <si>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</si>
  <si>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</si>
  <si>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</si>
  <si>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</si>
  <si>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</si>
  <si>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</si>
  <si>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</si>
  <si>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</si>
  <si>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</si>
  <si>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</si>
  <si>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</si>
  <si>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</si>
  <si>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</si>
  <si>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</si>
  <si>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</si>
  <si>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</si>
  <si>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</si>
  <si>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</si>
  <si>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</si>
  <si>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</si>
  <si>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</si>
  <si>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</si>
  <si>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</si>
  <si>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</si>
  <si>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</si>
  <si>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</si>
  <si>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</si>
  <si>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</si>
  <si>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</si>
  <si>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</si>
  <si>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</si>
  <si>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</si>
  <si>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</si>
  <si>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</si>
  <si>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</si>
  <si>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</si>
  <si>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</si>
  <si>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</si>
  <si>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</si>
  <si>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</si>
  <si>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</si>
  <si>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</si>
  <si>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</si>
  <si>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</si>
  <si>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</si>
  <si>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</si>
  <si>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</si>
  <si>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</si>
  <si>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</si>
  <si>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</si>
  <si>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</si>
  <si>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</si>
  <si>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</si>
  <si>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</si>
  <si>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</si>
  <si>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</si>
  <si>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</si>
  <si>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</si>
  <si>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</si>
  <si>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</si>
  <si>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</si>
  <si>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</si>
  <si>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</si>
  <si>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</si>
  <si>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</si>
  <si>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</si>
  <si>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</si>
  <si>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</si>
  <si>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</si>
  <si>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</si>
  <si>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</si>
  <si>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</si>
  <si>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</si>
  <si>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</si>
  <si>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</si>
  <si>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</si>
  <si>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</si>
  <si>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</si>
  <si>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</si>
  <si>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</si>
  <si>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</si>
  <si>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</si>
  <si>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</si>
  <si>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</si>
  <si>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</si>
  <si>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</si>
  <si>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</si>
  <si>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</si>
  <si>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</si>
  <si>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</si>
  <si>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</si>
  <si>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</si>
  <si>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</si>
  <si>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</si>
  <si>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</si>
  <si>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</si>
  <si>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</si>
  <si>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</si>
  <si>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</si>
  <si>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</si>
  <si>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</si>
  <si>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</si>
  <si>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</si>
  <si>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</si>
  <si>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</si>
  <si>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</si>
  <si>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</si>
  <si>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</si>
  <si>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</si>
  <si>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</si>
  <si>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</si>
  <si>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</si>
  <si>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</si>
  <si>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</si>
  <si>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</si>
  <si>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</si>
  <si>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</si>
  <si>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</si>
  <si>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</si>
  <si>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</si>
  <si>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</si>
  <si>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</si>
  <si>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</si>
  <si>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</si>
  <si>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</si>
  <si>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</si>
  <si>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</si>
  <si>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</si>
  <si>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</si>
  <si>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</si>
  <si>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</si>
  <si>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</si>
  <si>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</si>
  <si>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</si>
  <si>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</si>
  <si>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</si>
  <si>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</si>
  <si>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</si>
  <si>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</si>
  <si>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</si>
  <si>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</si>
  <si>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</si>
  <si>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</si>
  <si>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</si>
  <si>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</si>
  <si>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</si>
  <si>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</si>
  <si>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</si>
  <si>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</si>
  <si>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</si>
  <si>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</si>
  <si>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</si>
  <si>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</si>
  <si>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</si>
  <si>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</si>
  <si>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</si>
  <si>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</si>
  <si>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</si>
  <si>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</si>
  <si>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</si>
  <si>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</si>
  <si>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</si>
  <si>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</si>
  <si>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</si>
  <si>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</si>
  <si>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</si>
  <si>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</si>
  <si>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</si>
  <si>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</si>
  <si>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</si>
  <si>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</si>
  <si>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</si>
  <si>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</si>
  <si>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</si>
  <si>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</si>
  <si>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</si>
  <si>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</si>
  <si>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</si>
  <si>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</si>
  <si>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</si>
  <si>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</si>
  <si>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</si>
  <si>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</si>
  <si>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</si>
  <si>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</si>
  <si>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</si>
  <si>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</si>
  <si>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</si>
  <si>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</si>
  <si>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</si>
  <si>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</si>
  <si>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</si>
  <si>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</si>
  <si>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</si>
  <si>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</si>
  <si>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</si>
  <si>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</si>
  <si>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</si>
  <si>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</si>
  <si>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</si>
  <si>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</si>
  <si>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</si>
  <si>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</si>
  <si>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</si>
  <si>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</si>
  <si>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</si>
  <si>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</si>
  <si>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</si>
  <si>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</si>
  <si>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</si>
  <si>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</si>
  <si>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</si>
  <si>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</si>
  <si>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</si>
  <si>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</si>
  <si>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</si>
  <si>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</si>
  <si>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</si>
  <si>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</si>
  <si>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</si>
  <si>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</si>
  <si>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</si>
  <si>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</si>
  <si>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</si>
  <si>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</si>
  <si>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</si>
  <si>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</si>
  <si>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</si>
  <si>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</si>
  <si>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</si>
  <si>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</si>
  <si>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</si>
  <si>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</si>
  <si>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</si>
  <si>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</si>
  <si>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</si>
  <si>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</si>
  <si>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</si>
  <si>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</si>
  <si>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</si>
  <si>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</si>
  <si>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</si>
  <si>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</si>
  <si>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</si>
  <si>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</si>
  <si>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</si>
  <si>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</si>
  <si>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</si>
  <si>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</si>
  <si>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</si>
  <si>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</si>
  <si>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</si>
  <si>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</si>
  <si>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</si>
  <si>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</si>
  <si>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</si>
  <si>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</si>
  <si>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</si>
  <si>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</si>
  <si>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</si>
  <si>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</si>
  <si>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</si>
  <si>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</si>
  <si>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</si>
  <si>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</si>
  <si>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</si>
  <si>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</si>
  <si>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</si>
  <si>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</si>
  <si>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</si>
  <si>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</si>
  <si>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</si>
  <si>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</si>
  <si>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</si>
  <si>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</si>
  <si>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</si>
  <si>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</si>
  <si>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</si>
  <si>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</si>
  <si>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</si>
  <si>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</si>
  <si>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</si>
  <si>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</si>
  <si>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</si>
  <si>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</si>
  <si>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</si>
  <si>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</si>
  <si>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</si>
  <si>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</si>
  <si>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</si>
  <si>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</si>
  <si>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</si>
  <si>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</si>
  <si>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</si>
  <si>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</si>
  <si>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</si>
  <si>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</si>
  <si>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</si>
  <si>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</si>
  <si>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</si>
  <si>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</si>
  <si>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</si>
  <si>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</si>
  <si>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</si>
  <si>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</si>
  <si>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</si>
  <si>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</si>
  <si>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</si>
  <si>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</si>
  <si>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</si>
  <si>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</si>
  <si>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</si>
  <si>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</si>
  <si>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</si>
  <si>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</si>
  <si>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</si>
  <si>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</si>
  <si>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</si>
  <si>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</si>
  <si>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</si>
  <si>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</si>
  <si>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</si>
  <si>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</si>
  <si>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</si>
  <si>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</si>
  <si>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</si>
  <si>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</si>
  <si>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</si>
  <si>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</si>
  <si>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</si>
  <si>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</si>
  <si>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</si>
  <si>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</si>
  <si>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</si>
  <si>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</si>
  <si>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</si>
  <si>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</si>
  <si>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</si>
  <si>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</si>
  <si>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</si>
  <si>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</si>
  <si>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</si>
  <si>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</si>
  <si>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</si>
  <si>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</si>
  <si>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</si>
  <si>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</si>
  <si>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</si>
  <si>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</si>
  <si>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</si>
  <si>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</si>
  <si>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</si>
  <si>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</si>
  <si>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</si>
  <si>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</si>
  <si>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</si>
  <si>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</si>
  <si>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</si>
  <si>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</si>
  <si>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</si>
  <si>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</si>
  <si>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</si>
  <si>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</si>
  <si>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</si>
  <si>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</si>
  <si>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</si>
  <si>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</si>
  <si>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</si>
  <si>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</si>
  <si>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</si>
  <si>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</si>
  <si>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</si>
  <si>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</si>
  <si>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</si>
  <si>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</si>
  <si>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</si>
  <si>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</si>
  <si>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</si>
  <si>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</si>
  <si>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</si>
  <si>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</si>
  <si>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</si>
  <si>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</si>
  <si>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</si>
  <si>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</si>
  <si>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</si>
  <si>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</si>
  <si>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</si>
  <si>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</si>
  <si>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</si>
  <si>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</si>
  <si>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</si>
  <si>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</si>
  <si>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</si>
  <si>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</si>
  <si>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</si>
  <si>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</si>
  <si>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</si>
  <si>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</si>
  <si>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</si>
  <si>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</si>
  <si>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</si>
  <si>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</si>
  <si>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</si>
  <si>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</si>
  <si>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</si>
  <si>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</si>
  <si>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</si>
  <si>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</si>
  <si>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</si>
  <si>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</si>
  <si>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</si>
  <si>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</si>
  <si>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</si>
  <si>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</si>
  <si>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</si>
  <si>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</si>
  <si>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</si>
  <si>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</si>
  <si>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</si>
  <si>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</si>
  <si>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</si>
  <si>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</si>
  <si>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</si>
  <si>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</si>
  <si>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</si>
  <si>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</si>
  <si>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</si>
  <si>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</si>
  <si>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</si>
  <si>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</si>
  <si>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</si>
  <si>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</si>
  <si>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</si>
  <si>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</si>
  <si>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</si>
  <si>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</si>
  <si>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</si>
  <si>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</si>
  <si>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</si>
  <si>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</si>
  <si>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</si>
  <si>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</si>
  <si>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</si>
  <si>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</si>
  <si>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</si>
  <si>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</si>
  <si>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</si>
  <si>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</si>
  <si>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</si>
  <si>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</si>
  <si>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</si>
  <si>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</si>
  <si>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</si>
  <si>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</si>
  <si>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</si>
  <si>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</si>
  <si>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</si>
  <si>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</si>
  <si>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</si>
  <si>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</si>
  <si>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</si>
  <si>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</si>
  <si>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</si>
  <si>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</si>
  <si>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</si>
  <si>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</si>
  <si>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</si>
  <si>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</si>
  <si>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</si>
  <si>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</si>
  <si>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</si>
  <si>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</si>
  <si>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</si>
  <si>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</si>
  <si>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</si>
  <si>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</si>
  <si>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</si>
  <si>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</si>
  <si>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</si>
  <si>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</si>
  <si>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</si>
  <si>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</si>
  <si>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</si>
  <si>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</si>
  <si>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</si>
  <si>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</si>
  <si>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</si>
  <si>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</si>
  <si>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</si>
  <si>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</si>
  <si>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</si>
  <si>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</si>
  <si>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</si>
  <si>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</si>
  <si>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</si>
  <si>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</si>
  <si>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</si>
  <si>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</si>
  <si>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</si>
  <si>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</si>
  <si>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</si>
  <si>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</si>
  <si>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</si>
  <si>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</si>
  <si>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</si>
  <si>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</si>
  <si>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</si>
  <si>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</si>
  <si>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</si>
  <si>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</si>
  <si>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</si>
  <si>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</si>
  <si>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</si>
  <si>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</si>
  <si>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</si>
  <si>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</si>
  <si>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</si>
  <si>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</si>
  <si>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</si>
  <si>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</si>
  <si>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</si>
  <si>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</si>
  <si>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</si>
  <si>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</si>
  <si>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</si>
  <si>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</si>
  <si>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</si>
  <si>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</si>
  <si>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</si>
  <si>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</si>
  <si>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</si>
  <si>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</si>
  <si>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</si>
  <si>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</si>
  <si>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</si>
  <si>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</si>
  <si>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</si>
  <si>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</si>
  <si>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</si>
  <si>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</si>
  <si>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</si>
  <si>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</si>
  <si>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</si>
  <si>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</si>
  <si>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</si>
  <si>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</si>
  <si>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</si>
  <si>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</si>
  <si>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</si>
  <si>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</si>
  <si>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</si>
  <si>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</si>
  <si>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</si>
  <si>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</si>
  <si>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</si>
  <si>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</si>
  <si>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</si>
  <si>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</si>
  <si>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</si>
  <si>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</si>
  <si>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</si>
  <si>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</si>
  <si>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</si>
  <si>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</si>
  <si>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</si>
  <si>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</si>
  <si>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</si>
  <si>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</si>
  <si>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</si>
  <si>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</si>
  <si>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</si>
  <si>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</si>
  <si>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</si>
  <si>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</si>
  <si>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</si>
  <si>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</si>
  <si>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</si>
  <si>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</si>
  <si>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</si>
  <si>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</si>
  <si>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</si>
  <si>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</si>
  <si>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</si>
  <si>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</si>
  <si>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</si>
  <si>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</si>
  <si>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</si>
  <si>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</si>
  <si>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</si>
  <si>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</si>
  <si>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</si>
  <si>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</si>
  <si>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</si>
  <si>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</si>
  <si>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</si>
  <si>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</si>
  <si>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</si>
  <si>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</si>
  <si>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</si>
  <si>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</si>
  <si>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</si>
  <si>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</si>
  <si>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</si>
  <si>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</si>
  <si>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</si>
  <si>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</si>
  <si>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</si>
  <si>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</si>
  <si>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</si>
  <si>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</si>
  <si>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</si>
  <si>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</si>
  <si>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</si>
  <si>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</si>
  <si>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</si>
  <si>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</si>
  <si>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</si>
  <si>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</si>
  <si>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</si>
  <si>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</si>
  <si>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</si>
  <si>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</si>
  <si>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</si>
  <si>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</si>
  <si>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</si>
  <si>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</si>
  <si>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</si>
  <si>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</si>
  <si>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</si>
  <si>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</si>
  <si>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</si>
  <si>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</si>
  <si>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</si>
  <si>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</si>
  <si>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</si>
  <si>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</si>
  <si>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</si>
  <si>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</si>
  <si>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</si>
  <si>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</si>
  <si>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</si>
  <si>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</si>
  <si>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</si>
  <si>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</si>
  <si>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</si>
  <si>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</si>
  <si>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</si>
  <si>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</si>
  <si>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</si>
  <si>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</si>
  <si>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</si>
  <si>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</si>
  <si>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</si>
  <si>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</si>
  <si>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</si>
  <si>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</si>
  <si>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</si>
  <si>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</si>
  <si>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</si>
  <si>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</si>
  <si>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</si>
  <si>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</si>
  <si>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</si>
  <si>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</si>
  <si>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</si>
  <si>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</si>
  <si>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</si>
  <si>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</si>
  <si>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</si>
  <si>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</si>
  <si>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</si>
  <si>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</si>
  <si>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</si>
  <si>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</si>
  <si>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</si>
  <si>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</si>
  <si>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</si>
  <si>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</si>
  <si>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</si>
  <si>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</si>
  <si>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</si>
  <si>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</si>
  <si>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</si>
  <si>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</si>
  <si>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</si>
  <si>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</si>
  <si>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</si>
  <si>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</si>
  <si>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</si>
  <si>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</si>
  <si>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</si>
  <si>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</si>
  <si>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</si>
  <si>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</si>
  <si>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</si>
  <si>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</si>
  <si>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</si>
  <si>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</si>
  <si>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</si>
  <si>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</si>
  <si>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</si>
  <si>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</si>
  <si>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</si>
  <si>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</si>
  <si>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</si>
  <si>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</si>
  <si>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</si>
  <si>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</si>
  <si>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</si>
  <si>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</si>
  <si>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</si>
  <si>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</si>
  <si>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</si>
  <si>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</si>
  <si>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</si>
  <si>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</si>
  <si>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</si>
  <si>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</si>
  <si>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</si>
  <si>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</si>
  <si>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</si>
  <si>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</si>
  <si>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</si>
  <si>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</si>
  <si>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</si>
  <si>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</si>
  <si>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</si>
  <si>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</si>
  <si>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</si>
  <si>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</si>
  <si>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</si>
  <si>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</si>
  <si>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</si>
  <si>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</si>
  <si>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</si>
  <si>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</si>
  <si>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</si>
  <si>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</si>
  <si>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</si>
  <si>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</si>
  <si>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</si>
  <si>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</si>
  <si>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</si>
  <si>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</si>
  <si>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</si>
  <si>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</si>
  <si>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</si>
  <si>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</si>
  <si>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</si>
  <si>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</si>
  <si>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</si>
  <si>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</si>
  <si>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</si>
  <si>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</si>
  <si>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</si>
  <si>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</si>
  <si>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</si>
  <si>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</si>
  <si>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</si>
  <si>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</si>
  <si>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</si>
  <si>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</si>
  <si>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</si>
  <si>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</si>
  <si>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</si>
  <si>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</si>
  <si>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</si>
  <si>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</si>
  <si>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</si>
  <si>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</si>
  <si>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</si>
  <si>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</si>
  <si>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</si>
  <si>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</si>
  <si>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</si>
  <si>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</si>
  <si>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</si>
  <si>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</si>
  <si>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</si>
  <si>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</si>
  <si>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</si>
  <si>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</si>
  <si>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</si>
  <si>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</si>
  <si>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</si>
  <si>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</si>
  <si>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</si>
  <si>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</si>
  <si>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</si>
  <si>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</si>
  <si>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</si>
  <si>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</si>
  <si>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</si>
  <si>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</si>
  <si>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</si>
  <si>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</si>
  <si>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</si>
  <si>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</si>
  <si>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</si>
  <si>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</si>
  <si>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</si>
  <si>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</si>
  <si>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</si>
  <si>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</si>
  <si>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</si>
  <si>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</si>
  <si>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</si>
  <si>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</si>
  <si>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</si>
  <si>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</si>
  <si>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</si>
  <si>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</si>
  <si>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</si>
  <si>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</si>
  <si>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</si>
  <si>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</si>
  <si>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</si>
  <si>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</si>
  <si>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</si>
  <si>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</si>
  <si>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</si>
  <si>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</si>
  <si>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</si>
  <si>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</si>
  <si>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</si>
  <si>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</si>
  <si>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</si>
  <si>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</si>
  <si>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</si>
  <si>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</si>
  <si>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</si>
  <si>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</si>
  <si>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</si>
  <si>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</si>
  <si>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</si>
  <si>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</si>
  <si>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</si>
  <si>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</si>
  <si>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</si>
  <si>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</si>
  <si>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</si>
  <si>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</si>
  <si>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</si>
  <si>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</si>
  <si>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</si>
  <si>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</si>
  <si>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</si>
  <si>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</si>
  <si>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</si>
  <si>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</si>
  <si>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</si>
  <si>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</si>
  <si>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</si>
  <si>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</si>
  <si>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</si>
  <si>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</si>
  <si>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</si>
  <si>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</si>
  <si>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</si>
  <si>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</si>
  <si>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</si>
  <si>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</si>
  <si>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</si>
  <si>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</si>
  <si>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</si>
  <si>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</si>
  <si>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</si>
  <si>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</si>
  <si>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</si>
  <si>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</si>
  <si>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</si>
  <si>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</si>
  <si>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</si>
  <si>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</si>
  <si>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</si>
  <si>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</si>
  <si>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</si>
  <si>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</si>
  <si>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</si>
  <si>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</si>
  <si>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</si>
  <si>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</si>
  <si>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</si>
  <si>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</si>
  <si>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</si>
  <si>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</si>
  <si>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</si>
  <si>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</si>
  <si>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</si>
  <si>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</si>
  <si>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</si>
  <si>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</si>
  <si>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</si>
  <si>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</si>
  <si>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</si>
  <si>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</si>
  <si>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</si>
  <si>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</si>
  <si>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</si>
  <si>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</si>
  <si>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</si>
  <si>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</si>
  <si>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</si>
  <si>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</si>
  <si>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</si>
  <si>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</si>
  <si>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</si>
  <si>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</si>
  <si>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</si>
  <si>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</si>
  <si>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</si>
  <si>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</si>
  <si>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</si>
  <si>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</si>
  <si>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</si>
  <si>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</si>
  <si>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</si>
  <si>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</si>
  <si>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</si>
  <si>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</si>
  <si>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</si>
  <si>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</si>
  <si>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</si>
  <si>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</si>
  <si>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</si>
  <si>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</si>
  <si>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</si>
  <si>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</si>
  <si>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</si>
  <si>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</si>
  <si>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</si>
  <si>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</si>
  <si>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</si>
  <si>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</si>
  <si>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</si>
  <si>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</si>
  <si>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</si>
  <si>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</si>
  <si>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</si>
  <si>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</si>
  <si>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</si>
  <si>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</si>
  <si>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</si>
  <si>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</si>
  <si>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</si>
  <si>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</si>
  <si>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</si>
  <si>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</si>
  <si>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</si>
  <si>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</si>
  <si>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</si>
  <si>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</si>
  <si>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</si>
  <si>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</si>
  <si>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</si>
  <si>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</si>
  <si>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</si>
  <si>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</si>
  <si>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</si>
  <si>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</si>
  <si>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</si>
  <si>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</si>
  <si>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</si>
  <si>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</si>
  <si>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</si>
  <si>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</si>
  <si>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</si>
  <si>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</si>
  <si>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</si>
  <si>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</si>
  <si>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</si>
  <si>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</si>
  <si>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</si>
  <si>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</si>
  <si>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</si>
  <si>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</si>
  <si>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</si>
  <si>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</si>
  <si>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</si>
  <si>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</si>
  <si>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</si>
  <si>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</si>
  <si>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</si>
  <si>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</si>
  <si>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</si>
  <si>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</si>
  <si>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</si>
  <si>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</si>
  <si>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</si>
  <si>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</si>
  <si>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</si>
  <si>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</si>
  <si>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</si>
  <si>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</si>
  <si>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</si>
  <si>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</si>
  <si>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</si>
  <si>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</si>
  <si>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</si>
  <si>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</si>
  <si>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</si>
  <si>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</si>
  <si>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</si>
  <si>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</si>
  <si>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</si>
  <si>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</si>
  <si>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</si>
  <si>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</si>
  <si>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</si>
  <si>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</si>
  <si>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</si>
  <si>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</si>
  <si>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</si>
  <si>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</si>
  <si>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</si>
  <si>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</si>
  <si>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</si>
  <si>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</si>
  <si>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</si>
  <si>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</si>
  <si>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</si>
  <si>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</si>
  <si>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</si>
  <si>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</si>
  <si>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</si>
  <si>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</si>
  <si>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</si>
  <si>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</si>
  <si>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</si>
  <si>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</si>
  <si>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</si>
  <si>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</si>
  <si>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</si>
  <si>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</si>
  <si>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</si>
  <si>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</si>
  <si>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</si>
  <si>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</si>
  <si>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</si>
  <si>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</si>
  <si>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</si>
  <si>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</si>
  <si>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</si>
  <si>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</si>
  <si>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</si>
  <si>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</si>
  <si>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</si>
  <si>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</si>
  <si>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</si>
  <si>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</si>
  <si>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</si>
  <si>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</si>
  <si>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</si>
  <si>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</si>
  <si>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</si>
  <si>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</si>
  <si>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</si>
  <si>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</si>
  <si>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</si>
  <si>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</si>
  <si>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</si>
  <si>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</si>
  <si>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</si>
  <si>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</si>
  <si>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</si>
  <si>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</si>
  <si>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</si>
  <si>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</si>
  <si>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</si>
  <si>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</si>
  <si>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</si>
  <si>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</si>
  <si>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</si>
  <si>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</si>
  <si>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</si>
  <si>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</si>
  <si>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</si>
  <si>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</si>
  <si>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</si>
  <si>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</si>
  <si>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</si>
  <si>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</si>
  <si>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</si>
  <si>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</si>
  <si>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</si>
  <si>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</si>
  <si>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</si>
  <si>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</si>
  <si>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</si>
  <si>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</si>
  <si>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</si>
  <si>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</si>
  <si>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</si>
  <si>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</si>
  <si>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</si>
  <si>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</si>
  <si>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</si>
  <si>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</si>
  <si>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</si>
  <si>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</si>
  <si>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</si>
  <si>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</si>
  <si>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</si>
  <si>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</si>
  <si>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</si>
  <si>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</si>
  <si>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</si>
  <si>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</si>
  <si>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</si>
  <si>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</si>
  <si>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</si>
  <si>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</si>
  <si>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</si>
  <si>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</si>
  <si>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</si>
  <si>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</si>
  <si>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</si>
  <si>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</si>
  <si>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</si>
  <si>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</si>
  <si>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</si>
  <si>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</si>
  <si>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</si>
  <si>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</si>
  <si>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</si>
  <si>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</si>
  <si>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</si>
  <si>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</si>
  <si>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</si>
  <si>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</si>
  <si>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</si>
  <si>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</si>
  <si>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</si>
  <si>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</si>
  <si>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</si>
  <si>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</si>
  <si>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</si>
  <si>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</si>
  <si>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</si>
  <si>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</si>
  <si>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</si>
  <si>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</si>
  <si>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</si>
  <si>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</si>
  <si>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</si>
  <si>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</si>
  <si>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</si>
  <si>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</si>
  <si>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</si>
  <si>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</si>
  <si>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</si>
  <si>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</si>
  <si>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</si>
  <si>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</si>
  <si>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</si>
  <si>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</si>
  <si>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</si>
  <si>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</si>
  <si>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</si>
  <si>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</si>
  <si>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</si>
  <si>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</si>
  <si>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</si>
  <si>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</si>
  <si>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</si>
  <si>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</si>
  <si>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</si>
  <si>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</si>
  <si>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</si>
  <si>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</si>
  <si>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</si>
  <si>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</si>
  <si>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</si>
  <si>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</si>
  <si>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</si>
  <si>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</si>
  <si>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</si>
  <si>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</si>
  <si>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</si>
  <si>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</si>
  <si>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</si>
  <si>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</si>
  <si>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</si>
  <si>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</si>
  <si>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</si>
  <si>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</si>
  <si>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</si>
  <si>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</si>
  <si>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</si>
  <si>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</si>
  <si>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</si>
  <si>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</si>
  <si>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</si>
  <si>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</si>
  <si>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</si>
  <si>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</si>
  <si>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</si>
  <si>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</si>
  <si>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</si>
  <si>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Progressive Alloy Steels Unlimited, Inc.</t>
  </si>
  <si>
    <t>Patrick Servenack</t>
  </si>
  <si>
    <t>pservenack@progressivealloy.com</t>
  </si>
  <si>
    <t>800.798.5619</t>
  </si>
  <si>
    <t>pservenack@progressivealloy.om</t>
  </si>
  <si>
    <t>Mandatory compliance documented on PASU Purchase Order Terms and Conditions</t>
  </si>
  <si>
    <t>Usage analyzed completely on a per company basis</t>
  </si>
  <si>
    <t>57-1082505</t>
  </si>
  <si>
    <t>US Taxpayer ID number</t>
  </si>
  <si>
    <t>6335 N. Hollywood Blvd., Ste. 130, Las Vegas, NV 89115 / 2217 E. Bobo Newsome Hwy., Hartsville, SC 29550</t>
  </si>
  <si>
    <t>Quality Manager</t>
  </si>
  <si>
    <t>702.405.2710</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</si>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</sst>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8"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3" fillId="0" borderId="0"/>
    <xf numFmtId="0" fontId="84" fillId="0" borderId="0"/>
    <xf numFmtId="0" fontId="84" fillId="0" borderId="0"/>
    <xf numFmtId="166"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6" fontId="3" fillId="0" borderId="0"/>
    <xf numFmtId="0" fontId="9" fillId="0" borderId="0"/>
    <xf numFmtId="166" fontId="84" fillId="0" borderId="0"/>
    <xf numFmtId="0" fontId="4" fillId="0" borderId="0"/>
    <xf numFmtId="0" fontId="4" fillId="0" borderId="0"/>
    <xf numFmtId="166" fontId="9" fillId="0" borderId="0"/>
    <xf numFmtId="0" fontId="4" fillId="0" borderId="0"/>
    <xf numFmtId="0" fontId="9" fillId="0" borderId="0"/>
    <xf numFmtId="0" fontId="4" fillId="0" borderId="0"/>
    <xf numFmtId="0" fontId="68" fillId="0" borderId="0">
      <alignment vertical="center"/>
    </xf>
    <xf numFmtId="166"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6" fontId="3" fillId="0" borderId="0"/>
    <xf numFmtId="166"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2" fillId="0" borderId="0"/>
    <xf numFmtId="0" fontId="84" fillId="0" borderId="0"/>
    <xf numFmtId="0" fontId="84" fillId="0" borderId="0"/>
    <xf numFmtId="0" fontId="84" fillId="0" borderId="0"/>
    <xf numFmtId="166"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34">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1"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6"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6"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6"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6"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6"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wrapText="1"/>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6" fillId="45" borderId="0" xfId="0" applyFont="1" applyFill="1" applyBorder="1" applyAlignment="1" applyProtection="1">
      <alignment horizontal="center" vertical="center" wrapText="1"/>
      <protection hidden="1"/>
    </xf>
    <xf numFmtId="0" fontId="21" fillId="0" borderId="25" xfId="492" applyFont="1" applyFill="1" applyBorder="1" applyAlignment="1" applyProtection="1">
      <alignment horizontal="center" wrapText="1"/>
      <protection hidden="1"/>
    </xf>
    <xf numFmtId="49" fontId="17" fillId="45" borderId="58" xfId="0" applyNumberFormat="1" applyFon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7" fontId="16" fillId="45" borderId="31" xfId="0" applyNumberFormat="1" applyFont="1" applyFill="1" applyBorder="1" applyAlignment="1" applyProtection="1">
      <alignment horizontal="center" wrapText="1"/>
      <protection locked="0"/>
    </xf>
    <xf numFmtId="167" fontId="16" fillId="45" borderId="60" xfId="0" applyNumberFormat="1" applyFont="1" applyFill="1" applyBorder="1" applyAlignment="1" applyProtection="1">
      <alignment horizontal="center" wrapText="1"/>
      <protection locked="0"/>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6" fillId="45" borderId="25" xfId="0" applyFont="1" applyFill="1" applyBorder="1" applyAlignment="1" applyProtection="1">
      <alignment horizontal="center" wrapText="1"/>
      <protection hidden="1"/>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49" fontId="10" fillId="45" borderId="58" xfId="492" applyNumberFormat="1" applyFill="1" applyBorder="1" applyAlignment="1" applyProtection="1">
      <alignment horizontal="left" vertical="center" wrapText="1"/>
      <protection locked="0"/>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92">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pservenack@progressivealloy.om" TargetMode="External"/><Relationship Id="rId1" Type="http://schemas.openxmlformats.org/officeDocument/2006/relationships/hyperlink" Target="mailto:pservenack@progressivealloy.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zoomScale="80" zoomScaleNormal="80" workbookViewId="0"/>
  </sheetViews>
  <sheetFormatPr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4BDF1A28-30D5-449D-B20E-D6C97EF9FAE1}" showAutoFilter="1">
      <selection activeCell="C1" sqref="C1:D65536"/>
      <pageMargins left="0.75" right="0.75" top="1" bottom="1" header="0.3" footer="0.3"/>
      <pageSetup orientation="portrait"/>
      <autoFilter ref="B1:C1" xr:uid="{00000000-0000-0000-0000-000000000000}"/>
    </customSheetView>
    <customSheetView guid="{C59130F4-2E03-5E48-94CE-6E4A0484DB9E}" showAutoFilter="1">
      <selection activeCell="C1" sqref="C1:D65536"/>
      <pageMargins left="0.75" right="0.75" top="1" bottom="1" header="0.3" footer="0.3"/>
      <pageSetup orientation="portrait"/>
      <headerFooter alignWithMargins="0"/>
      <autoFilter ref="B1:C1" xr:uid="{00000000-0000-0000-0000-000000000000}"/>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zoomScale="80" zoomScaleNormal="80" workbookViewId="0">
      <pane xSplit="1" ySplit="11" topLeftCell="B13"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5">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00000000000001"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ht="22.5">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67.5">
      <c r="A14" s="349"/>
      <c r="B14" s="227">
        <v>1.1000000000000001</v>
      </c>
      <c r="C14" s="228" t="s">
        <v>11911</v>
      </c>
      <c r="D14" s="251">
        <v>43455</v>
      </c>
      <c r="E14" s="229" t="s">
        <v>12726</v>
      </c>
      <c r="F14" s="229" t="s">
        <v>12507</v>
      </c>
      <c r="G14" s="28"/>
    </row>
    <row r="15" spans="1:7" ht="67.5">
      <c r="A15" s="349"/>
      <c r="B15" s="227">
        <v>2</v>
      </c>
      <c r="C15" s="228" t="s">
        <v>11911</v>
      </c>
      <c r="D15" s="251">
        <v>43768</v>
      </c>
      <c r="E15" s="229" t="s">
        <v>12804</v>
      </c>
      <c r="F15" s="229" t="s">
        <v>12805</v>
      </c>
      <c r="G15" s="28"/>
    </row>
    <row r="16" spans="1:7" ht="56.25">
      <c r="A16" s="349"/>
      <c r="B16" s="316">
        <v>2.1</v>
      </c>
      <c r="C16" s="317" t="s">
        <v>11911</v>
      </c>
      <c r="D16" s="318">
        <v>43964</v>
      </c>
      <c r="E16" s="319" t="s">
        <v>13794</v>
      </c>
      <c r="F16" s="319" t="s">
        <v>13795</v>
      </c>
      <c r="G16" s="28"/>
    </row>
    <row r="17" spans="1:7" ht="56.25">
      <c r="A17" s="349"/>
      <c r="B17" s="316">
        <v>2.11</v>
      </c>
      <c r="C17" s="317" t="s">
        <v>11911</v>
      </c>
      <c r="D17" s="318">
        <v>43970</v>
      </c>
      <c r="E17" s="319" t="s">
        <v>13874</v>
      </c>
      <c r="F17" s="319" t="s">
        <v>13795</v>
      </c>
      <c r="G17" s="28"/>
    </row>
    <row r="18" spans="1:7" ht="67.5">
      <c r="A18" s="349"/>
      <c r="B18" s="316">
        <v>2.2000000000000002</v>
      </c>
      <c r="C18" s="317" t="s">
        <v>11911</v>
      </c>
      <c r="D18" s="318">
        <v>44132</v>
      </c>
      <c r="E18" s="319" t="s">
        <v>13884</v>
      </c>
      <c r="F18" s="319" t="s">
        <v>13885</v>
      </c>
      <c r="G18" s="28"/>
    </row>
    <row r="19" spans="1:7" ht="13.5" thickBot="1">
      <c r="A19" s="350"/>
      <c r="B19" s="351" t="str">
        <f ca="1">OFFSET(L!$C$1,MATCH("General"&amp;"Cpy",L!$A:$A,0)-1,SL,,)</f>
        <v>© 2020 Responsible Minerals Initiative. All rights reserved.</v>
      </c>
      <c r="C19" s="351"/>
      <c r="D19" s="351"/>
      <c r="E19" s="351"/>
      <c r="F19" s="351"/>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zoomScale="80" zoomScaleNormal="80" workbookViewId="0">
      <pane ySplit="2" topLeftCell="A3" activePane="bottomLeft" state="frozen"/>
      <selection activeCell="B24" sqref="B24:J24"/>
      <selection pane="bottomLeft" sqref="A1:D1"/>
    </sheetView>
  </sheetViews>
  <sheetFormatPr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5"/>
      <c r="B1" s="356"/>
      <c r="C1" s="356"/>
      <c r="D1" s="357"/>
    </row>
    <row r="2" spans="1:8" ht="15">
      <c r="A2" s="231"/>
      <c r="B2" s="232" t="str">
        <f ca="1">OFFSET(L!$C$1,MATCH("Definitions"&amp;ADDRESS(ROW(),COLUMN(),4),L!$A:$A,0)-1,SL,,)</f>
        <v>ITEM</v>
      </c>
      <c r="C2" s="232" t="str">
        <f ca="1">OFFSET(L!$C$1,MATCH("Definitions"&amp;ADDRESS(ROW(),COLUMN(),4),L!$A:$A,0)-1,SL,,)</f>
        <v>DEFINITION</v>
      </c>
      <c r="D2" s="359"/>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50">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5">
      <c r="A21" s="231"/>
      <c r="B21" s="358" t="str">
        <f ca="1">OFFSET(L!$C$1,MATCH("General"&amp;"Cpy",L!$A:$A,0)-1,SL,,)</f>
        <v>© 2020 Responsible Minerals Initiative. All rights reserved.</v>
      </c>
      <c r="C21" s="358"/>
      <c r="D21" s="359"/>
      <c r="E21" s="234"/>
    </row>
    <row r="22" spans="1:5" ht="13.5" thickBot="1">
      <c r="A22" s="235"/>
      <c r="B22" s="236"/>
      <c r="C22" s="236"/>
      <c r="D22" s="360"/>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zoomScale="80" zoomScaleNormal="80" workbookViewId="0">
      <selection activeCell="G56" sqref="G56:J56"/>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97"/>
      <c r="B1" s="398"/>
      <c r="C1" s="398"/>
      <c r="D1" s="398"/>
      <c r="E1" s="398"/>
      <c r="F1" s="398"/>
      <c r="G1" s="398"/>
      <c r="H1" s="398"/>
      <c r="I1" s="398"/>
      <c r="J1" s="398"/>
      <c r="K1" s="399"/>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400" t="str">
        <f ca="1">OFFSET(L!$C$1,MATCH("Declaration"&amp;ADDRESS(ROW(),COLUMN(),4),L!$A:$A,0)-1,SL,,)</f>
        <v>Cobalt Reporting Template (CRT)</v>
      </c>
      <c r="E2" s="401"/>
      <c r="F2" s="401"/>
      <c r="G2" s="401"/>
      <c r="H2" s="401"/>
      <c r="I2" s="401"/>
      <c r="J2" s="402"/>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417"/>
      <c r="F3" s="418"/>
      <c r="G3" s="418"/>
      <c r="H3" s="418"/>
      <c r="I3" s="418"/>
      <c r="J3" s="253" t="s">
        <v>13887</v>
      </c>
      <c r="K3" s="35"/>
      <c r="L3" s="120"/>
      <c r="M3" s="111"/>
      <c r="N3" s="111"/>
      <c r="O3" s="112"/>
      <c r="P3" s="125">
        <f>MATCH($D$3,LN,0)</f>
        <v>1</v>
      </c>
    </row>
    <row r="4" spans="1:34" ht="15.75">
      <c r="A4" s="33"/>
      <c r="B4" s="380" t="str">
        <f ca="1">OFFSET(L!$C$1,MATCH("Declaration"&amp;ADDRESS(ROW(),COLUMN(),4),L!$A:$A,0)-1,SL,,)</f>
        <v>The purpose of this document is to collect sourcing information on cobalt.</v>
      </c>
      <c r="C4" s="380"/>
      <c r="D4" s="380"/>
      <c r="E4" s="380"/>
      <c r="F4" s="380"/>
      <c r="G4" s="380"/>
      <c r="H4" s="380"/>
      <c r="I4" s="409" t="str">
        <f ca="1">OFFSET(L!$C$1,MATCH("Declaration"&amp;ADDRESS(ROW(),COLUMN(),4),L!$A:$A,0)-1,SL,,)</f>
        <v>Link to Terms &amp; Conditions</v>
      </c>
      <c r="J4" s="409"/>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C</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80" t="str">
        <f ca="1">OFFSET(L!$C$1,MATCH("Declaration"&amp;ADDRESS(ROW(),COLUMN(),4),L!$A:$A,0)-1,SL,,)</f>
        <v>Mandatory fields are noted with an asterisk (*).  Consult the instructions tab for guidance on how to answer each question.</v>
      </c>
      <c r="C6" s="380"/>
      <c r="D6" s="380"/>
      <c r="E6" s="380"/>
      <c r="F6" s="380"/>
      <c r="G6" s="380"/>
      <c r="H6" s="380"/>
      <c r="I6" s="380"/>
      <c r="J6" s="380"/>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410" t="str">
        <f ca="1">OFFSET(L!$C$1,MATCH("Declaration"&amp;ADDRESS(ROW(),COLUMN(),4),L!$A:$A,0)-1,SL,,)</f>
        <v>Company Information</v>
      </c>
      <c r="C7" s="410"/>
      <c r="D7" s="410"/>
      <c r="E7" s="410"/>
      <c r="F7" s="410"/>
      <c r="G7" s="410"/>
      <c r="H7" s="410"/>
      <c r="I7" s="410"/>
      <c r="J7" s="410"/>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403" t="s">
        <v>14060</v>
      </c>
      <c r="E8" s="404"/>
      <c r="F8" s="404"/>
      <c r="G8" s="404"/>
      <c r="H8" s="404"/>
      <c r="I8" s="404"/>
      <c r="J8" s="405"/>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386" t="s">
        <v>12508</v>
      </c>
      <c r="E9" s="387"/>
      <c r="F9" s="387"/>
      <c r="G9" s="388"/>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411" t="str">
        <f ca="1">OFFSET(L!$C$1,MATCH("Declaration"&amp;ADDRESS(ROW(),COLUMN(),4)&amp;LEFT($D$9,1),L!$A:$A,0)-1,SL,,)</f>
        <v>Description of Scope: (*)</v>
      </c>
      <c r="C10" s="132"/>
      <c r="D10" s="406" t="s">
        <v>14066</v>
      </c>
      <c r="E10" s="407"/>
      <c r="F10" s="407"/>
      <c r="G10" s="407"/>
      <c r="H10" s="407"/>
      <c r="I10" s="407"/>
      <c r="J10" s="408"/>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12"/>
      <c r="C11" s="132"/>
      <c r="D11" s="413" t="str">
        <f ca="1">IF(D9=Q9,OFFSET(L!$C$1,MATCH("Declaration"&amp;ADDRESS(ROW(),COLUMN(),4),L!$A:$A,0)-1,SL,,),"")</f>
        <v/>
      </c>
      <c r="E11" s="414"/>
      <c r="F11" s="414"/>
      <c r="G11" s="414"/>
      <c r="H11" s="414"/>
      <c r="I11" s="414"/>
      <c r="J11" s="415"/>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82" t="s">
        <v>14067</v>
      </c>
      <c r="E12" s="383"/>
      <c r="F12" s="383"/>
      <c r="G12" s="383"/>
      <c r="H12" s="383"/>
      <c r="I12" s="383"/>
      <c r="J12" s="384"/>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82" t="s">
        <v>14068</v>
      </c>
      <c r="E13" s="383"/>
      <c r="F13" s="383"/>
      <c r="G13" s="383"/>
      <c r="H13" s="383"/>
      <c r="I13" s="383"/>
      <c r="J13" s="384"/>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82" t="s">
        <v>14069</v>
      </c>
      <c r="E14" s="383"/>
      <c r="F14" s="383"/>
      <c r="G14" s="383"/>
      <c r="H14" s="383"/>
      <c r="I14" s="383"/>
      <c r="J14" s="384"/>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82" t="s">
        <v>14061</v>
      </c>
      <c r="E15" s="383"/>
      <c r="F15" s="383"/>
      <c r="G15" s="383"/>
      <c r="H15" s="383"/>
      <c r="I15" s="383"/>
      <c r="J15" s="384"/>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421" t="s">
        <v>14062</v>
      </c>
      <c r="E16" s="383"/>
      <c r="F16" s="383"/>
      <c r="G16" s="383"/>
      <c r="H16" s="383"/>
      <c r="I16" s="383"/>
      <c r="J16" s="384"/>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82" t="s">
        <v>14063</v>
      </c>
      <c r="E17" s="383"/>
      <c r="F17" s="383"/>
      <c r="G17" s="383"/>
      <c r="H17" s="383"/>
      <c r="I17" s="383"/>
      <c r="J17" s="384"/>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82" t="s">
        <v>14061</v>
      </c>
      <c r="E18" s="383"/>
      <c r="F18" s="383"/>
      <c r="G18" s="383"/>
      <c r="H18" s="383"/>
      <c r="I18" s="383"/>
      <c r="J18" s="384"/>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82" t="s">
        <v>14070</v>
      </c>
      <c r="E19" s="383"/>
      <c r="F19" s="383"/>
      <c r="G19" s="383"/>
      <c r="H19" s="383"/>
      <c r="I19" s="383"/>
      <c r="J19" s="384"/>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421" t="s">
        <v>14064</v>
      </c>
      <c r="E20" s="383"/>
      <c r="F20" s="383"/>
      <c r="G20" s="383"/>
      <c r="H20" s="383"/>
      <c r="I20" s="383"/>
      <c r="J20" s="384"/>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382" t="s">
        <v>14071</v>
      </c>
      <c r="E21" s="383"/>
      <c r="F21" s="383"/>
      <c r="G21" s="383"/>
      <c r="H21" s="383"/>
      <c r="I21" s="383"/>
      <c r="J21" s="384"/>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389">
        <v>44414</v>
      </c>
      <c r="E22" s="390"/>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85"/>
      <c r="E23" s="385"/>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416" t="str">
        <f ca="1">OFFSET(L!$C$1,MATCH("Declaration"&amp;ADDRESS(ROW(),COLUMN(),4),L!$A:$A,0)-1,SL,,)</f>
        <v>Answer the following questions 1 - 6 based on the declaration scope indicated above</v>
      </c>
      <c r="C24" s="416"/>
      <c r="D24" s="416"/>
      <c r="E24" s="416"/>
      <c r="F24" s="416"/>
      <c r="G24" s="416"/>
      <c r="H24" s="416"/>
      <c r="I24" s="416"/>
      <c r="J24" s="416"/>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379" t="str">
        <f ca="1">OFFSET(L!$C$1,MATCH("Declaration"&amp;ADDRESS(ROW(),COLUMN(),4),L!$A:$A,0)-1,SL,,)</f>
        <v>Answer</v>
      </c>
      <c r="E25" s="379"/>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67" t="s">
        <v>372</v>
      </c>
      <c r="E26" s="368"/>
      <c r="F26" s="10"/>
      <c r="G26" s="363"/>
      <c r="H26" s="364"/>
      <c r="I26" s="364"/>
      <c r="J26" s="365"/>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69" t="s">
        <v>372</v>
      </c>
      <c r="E27" s="370"/>
      <c r="F27" s="10"/>
      <c r="G27" s="363"/>
      <c r="H27" s="364"/>
      <c r="I27" s="364"/>
      <c r="J27" s="365"/>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69" t="s">
        <v>372</v>
      </c>
      <c r="E28" s="370"/>
      <c r="F28" s="10"/>
      <c r="G28" s="363"/>
      <c r="H28" s="364"/>
      <c r="I28" s="364"/>
      <c r="J28" s="365"/>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69" t="s">
        <v>372</v>
      </c>
      <c r="E29" s="370"/>
      <c r="F29" s="10"/>
      <c r="G29" s="363"/>
      <c r="H29" s="364"/>
      <c r="I29" s="364"/>
      <c r="J29" s="365"/>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94" t="str">
        <f ca="1">D25</f>
        <v>Answer</v>
      </c>
      <c r="E31" s="394"/>
      <c r="F31" s="16"/>
      <c r="G31" s="43" t="str">
        <f ca="1">G25</f>
        <v>Comments</v>
      </c>
      <c r="H31" s="381"/>
      <c r="I31" s="381"/>
      <c r="J31" s="381"/>
      <c r="K31" s="35"/>
      <c r="L31" s="117" t="s">
        <v>692</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67" t="s">
        <v>372</v>
      </c>
      <c r="E32" s="368"/>
      <c r="F32" s="46"/>
      <c r="G32" s="363" t="s">
        <v>14065</v>
      </c>
      <c r="H32" s="364"/>
      <c r="I32" s="364"/>
      <c r="J32" s="365"/>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69"/>
      <c r="E33" s="370"/>
      <c r="F33" s="46"/>
      <c r="G33" s="363"/>
      <c r="H33" s="364"/>
      <c r="I33" s="364"/>
      <c r="J33" s="365"/>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67"/>
      <c r="E34" s="368"/>
      <c r="F34" s="46"/>
      <c r="G34" s="363"/>
      <c r="H34" s="364"/>
      <c r="I34" s="364"/>
      <c r="J34" s="365"/>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67"/>
      <c r="E35" s="368"/>
      <c r="F35" s="46"/>
      <c r="G35" s="363"/>
      <c r="H35" s="364"/>
      <c r="I35" s="364"/>
      <c r="J35" s="365"/>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 xml:space="preserve">3) Does 100 percent of the cobalt originate from recycled or scrap sources? </v>
      </c>
      <c r="C37" s="8"/>
      <c r="D37" s="394" t="str">
        <f ca="1">D25</f>
        <v>Answer</v>
      </c>
      <c r="E37" s="394"/>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67" t="s">
        <v>373</v>
      </c>
      <c r="E38" s="368"/>
      <c r="F38" s="46"/>
      <c r="G38" s="363"/>
      <c r="H38" s="364"/>
      <c r="I38" s="364"/>
      <c r="J38" s="365"/>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69"/>
      <c r="E39" s="370"/>
      <c r="F39" s="46"/>
      <c r="G39" s="363"/>
      <c r="H39" s="364"/>
      <c r="I39" s="364"/>
      <c r="J39" s="365"/>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69"/>
      <c r="E40" s="370"/>
      <c r="F40" s="46"/>
      <c r="G40" s="363"/>
      <c r="H40" s="364"/>
      <c r="I40" s="364"/>
      <c r="J40" s="365"/>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69"/>
      <c r="E41" s="370"/>
      <c r="F41" s="46"/>
      <c r="G41" s="363"/>
      <c r="H41" s="364"/>
      <c r="I41" s="364"/>
      <c r="J41" s="365"/>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94" t="str">
        <f ca="1">D25</f>
        <v>Answer</v>
      </c>
      <c r="E43" s="394"/>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419" t="s">
        <v>374</v>
      </c>
      <c r="E44" s="420"/>
      <c r="F44" s="46"/>
      <c r="G44" s="363" t="s">
        <v>14065</v>
      </c>
      <c r="H44" s="364"/>
      <c r="I44" s="364"/>
      <c r="J44" s="365"/>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91"/>
      <c r="E45" s="392"/>
      <c r="F45" s="46"/>
      <c r="G45" s="363"/>
      <c r="H45" s="364"/>
      <c r="I45" s="364"/>
      <c r="J45" s="365"/>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91"/>
      <c r="E46" s="392"/>
      <c r="F46" s="46"/>
      <c r="G46" s="363"/>
      <c r="H46" s="364"/>
      <c r="I46" s="364"/>
      <c r="J46" s="365"/>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91"/>
      <c r="E47" s="392"/>
      <c r="F47" s="46"/>
      <c r="G47" s="363"/>
      <c r="H47" s="364"/>
      <c r="I47" s="364"/>
      <c r="J47" s="365"/>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 xml:space="preserve">5) Have you identified all of the smelters supplying the cobalt to your supply chain? </v>
      </c>
      <c r="C49" s="8"/>
      <c r="D49" s="394" t="str">
        <f ca="1">D25</f>
        <v>Answer</v>
      </c>
      <c r="E49" s="394"/>
      <c r="F49" s="16"/>
      <c r="G49" s="43" t="str">
        <f ca="1">G25</f>
        <v>Comments</v>
      </c>
      <c r="H49" s="393"/>
      <c r="I49" s="393"/>
      <c r="J49" s="393"/>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395" t="s">
        <v>372</v>
      </c>
      <c r="E50" s="396"/>
      <c r="F50" s="46"/>
      <c r="G50" s="363" t="s">
        <v>14065</v>
      </c>
      <c r="H50" s="364"/>
      <c r="I50" s="364"/>
      <c r="J50" s="365"/>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69"/>
      <c r="E51" s="370"/>
      <c r="F51" s="46"/>
      <c r="G51" s="363"/>
      <c r="H51" s="364"/>
      <c r="I51" s="364"/>
      <c r="J51" s="365"/>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69"/>
      <c r="E52" s="370"/>
      <c r="F52" s="46"/>
      <c r="G52" s="363"/>
      <c r="H52" s="364"/>
      <c r="I52" s="364"/>
      <c r="J52" s="365"/>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69"/>
      <c r="E53" s="370"/>
      <c r="F53" s="46"/>
      <c r="G53" s="363"/>
      <c r="H53" s="364"/>
      <c r="I53" s="364"/>
      <c r="J53" s="365"/>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 xml:space="preserve">6) Has all applicable smelter information received by your company been reported in this declaration? </v>
      </c>
      <c r="C55" s="8"/>
      <c r="D55" s="394" t="str">
        <f ca="1">D25</f>
        <v>Answer</v>
      </c>
      <c r="E55" s="394"/>
      <c r="F55" s="16"/>
      <c r="G55" s="43" t="str">
        <f ca="1">G25</f>
        <v>Comments</v>
      </c>
      <c r="H55" s="393" t="str">
        <f>IF(Q63="(*)","Click here to enter smelter names","")</f>
        <v/>
      </c>
      <c r="I55" s="393"/>
      <c r="J55" s="393"/>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67"/>
      <c r="E56" s="368"/>
      <c r="F56" s="47"/>
      <c r="G56" s="363" t="s">
        <v>14072</v>
      </c>
      <c r="H56" s="364"/>
      <c r="I56" s="364"/>
      <c r="J56" s="365"/>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69"/>
      <c r="E57" s="370"/>
      <c r="F57" s="47"/>
      <c r="G57" s="363"/>
      <c r="H57" s="364"/>
      <c r="I57" s="364"/>
      <c r="J57" s="365"/>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69"/>
      <c r="E58" s="370"/>
      <c r="F58" s="47"/>
      <c r="G58" s="363"/>
      <c r="H58" s="364"/>
      <c r="I58" s="364"/>
      <c r="J58" s="365"/>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69"/>
      <c r="E59" s="370"/>
      <c r="F59" s="49"/>
      <c r="G59" s="363"/>
      <c r="H59" s="364"/>
      <c r="I59" s="364"/>
      <c r="J59" s="365"/>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71" t="str">
        <f ca="1">OFFSET(L!$C$1,MATCH("Declaration"&amp;ADDRESS(ROW(),COLUMN(),4),L!$A:$A,0)-1,SL,,)</f>
        <v>Answer the Following Questions at a Company Level</v>
      </c>
      <c r="C61" s="371"/>
      <c r="D61" s="371"/>
      <c r="E61" s="371"/>
      <c r="F61" s="371"/>
      <c r="G61" s="371"/>
      <c r="H61" s="371"/>
      <c r="I61" s="371"/>
      <c r="J61" s="371"/>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79" t="str">
        <f ca="1">D25</f>
        <v>Answer</v>
      </c>
      <c r="E62" s="379"/>
      <c r="F62" s="52"/>
      <c r="G62" s="379" t="str">
        <f ca="1">G25</f>
        <v>Comments</v>
      </c>
      <c r="H62" s="379" t="e">
        <f>HLOOKUP(SL,LT,$O62,0)</f>
        <v>#NAME?</v>
      </c>
      <c r="I62" s="379"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67" t="s">
        <v>371</v>
      </c>
      <c r="E63" s="368"/>
      <c r="F63" s="56"/>
      <c r="G63" s="363" t="s">
        <v>14065</v>
      </c>
      <c r="H63" s="364"/>
      <c r="I63" s="364"/>
      <c r="J63" s="365"/>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74"/>
      <c r="H64" s="374"/>
      <c r="I64" s="374"/>
      <c r="J64" s="374"/>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67" t="s">
        <v>371</v>
      </c>
      <c r="E65" s="368"/>
      <c r="F65" s="56"/>
      <c r="G65" s="376" t="s">
        <v>14065</v>
      </c>
      <c r="H65" s="377"/>
      <c r="I65" s="377"/>
      <c r="J65" s="378"/>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67" t="s">
        <v>371</v>
      </c>
      <c r="E67" s="368"/>
      <c r="F67" s="56"/>
      <c r="G67" s="363" t="s">
        <v>14065</v>
      </c>
      <c r="H67" s="364"/>
      <c r="I67" s="364"/>
      <c r="J67" s="365"/>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67" t="s">
        <v>371</v>
      </c>
      <c r="E69" s="368"/>
      <c r="F69" s="56"/>
      <c r="G69" s="363" t="s">
        <v>14065</v>
      </c>
      <c r="H69" s="364"/>
      <c r="I69" s="364"/>
      <c r="J69" s="365"/>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67" t="s">
        <v>372</v>
      </c>
      <c r="E71" s="368"/>
      <c r="F71" s="56"/>
      <c r="G71" s="363"/>
      <c r="H71" s="364"/>
      <c r="I71" s="364"/>
      <c r="J71" s="365"/>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372" t="s">
        <v>371</v>
      </c>
      <c r="E73" s="373"/>
      <c r="F73" s="56"/>
      <c r="G73" s="363" t="s">
        <v>14065</v>
      </c>
      <c r="H73" s="364"/>
      <c r="I73" s="364"/>
      <c r="J73" s="365"/>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374"/>
      <c r="H74" s="374"/>
      <c r="I74" s="374"/>
      <c r="J74" s="374"/>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 xml:space="preserve">G. Does your company conduct cobalt supply chain survey(s) of your relevant supplier(s)? </v>
      </c>
      <c r="C75" s="56"/>
      <c r="D75" s="367" t="s">
        <v>372</v>
      </c>
      <c r="E75" s="368"/>
      <c r="F75" s="56"/>
      <c r="G75" s="363"/>
      <c r="H75" s="364"/>
      <c r="I75" s="364"/>
      <c r="J75" s="365"/>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375"/>
      <c r="H76" s="375"/>
      <c r="I76" s="375"/>
      <c r="J76" s="375"/>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67" t="s">
        <v>372</v>
      </c>
      <c r="E77" s="368"/>
      <c r="F77" s="56"/>
      <c r="G77" s="363"/>
      <c r="H77" s="364"/>
      <c r="I77" s="364"/>
      <c r="J77" s="365"/>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 xml:space="preserve">I. Does your review process include corrective action management? </v>
      </c>
      <c r="C79" s="56"/>
      <c r="D79" s="367" t="s">
        <v>372</v>
      </c>
      <c r="E79" s="368"/>
      <c r="F79" s="56"/>
      <c r="G79" s="363"/>
      <c r="H79" s="364"/>
      <c r="I79" s="364"/>
      <c r="J79" s="365"/>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66" t="str">
        <f>IF(OR($D$8="",$I$3=""),"","Click here to check required fields completion")</f>
        <v/>
      </c>
      <c r="C80" s="366"/>
      <c r="D80" s="366"/>
      <c r="E80" s="366"/>
      <c r="F80" s="366"/>
      <c r="G80" s="366"/>
      <c r="H80" s="366"/>
      <c r="I80" s="366"/>
      <c r="J80" s="366"/>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61" t="str">
        <f ca="1">OFFSET(L!$C$1,MATCH("General"&amp;"Cpy",L!$A:$A,0)-1,SL,,)</f>
        <v>© 2020 Responsible Minerals Initiative. All rights reserved.</v>
      </c>
      <c r="B81" s="362"/>
      <c r="C81" s="362"/>
      <c r="D81" s="362"/>
      <c r="E81" s="362"/>
      <c r="F81" s="362"/>
      <c r="G81" s="362"/>
      <c r="H81" s="362"/>
      <c r="I81" s="362"/>
      <c r="J81" s="362"/>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6" type="noConversion"/>
  <conditionalFormatting sqref="D63:E63 D65:E65 D67:E67 D69:E69 D79:E79 D73:E73 D75:E75 D77:E77 D71">
    <cfRule type="expression" dxfId="91" priority="58" stopIfTrue="1">
      <formula>OR($D$26="No",$D$26="Unknown")</formula>
    </cfRule>
    <cfRule type="expression" dxfId="90" priority="59" stopIfTrue="1">
      <formula>IF(D63="",TRUE)</formula>
    </cfRule>
  </conditionalFormatting>
  <conditionalFormatting sqref="D26:E26">
    <cfRule type="expression" dxfId="89" priority="110" stopIfTrue="1">
      <formula>IF($D$26="",TRUE)</formula>
    </cfRule>
  </conditionalFormatting>
  <conditionalFormatting sqref="D27:E27">
    <cfRule type="expression" dxfId="88" priority="117" stopIfTrue="1">
      <formula>IF($D$27="",TRUE)</formula>
    </cfRule>
  </conditionalFormatting>
  <conditionalFormatting sqref="D8:J8">
    <cfRule type="expression" dxfId="87" priority="124" stopIfTrue="1">
      <formula>IF($D$8="",TRUE)</formula>
    </cfRule>
  </conditionalFormatting>
  <conditionalFormatting sqref="D9:G9">
    <cfRule type="expression" dxfId="86" priority="125" stopIfTrue="1">
      <formula>IF($D$9="",TRUE)</formula>
    </cfRule>
  </conditionalFormatting>
  <conditionalFormatting sqref="D15:J15">
    <cfRule type="expression" dxfId="85" priority="126" stopIfTrue="1">
      <formula>IF($D$15="",TRUE)</formula>
    </cfRule>
  </conditionalFormatting>
  <conditionalFormatting sqref="D16:J16">
    <cfRule type="expression" dxfId="84" priority="127" stopIfTrue="1">
      <formula>IF($D$16="",TRUE)</formula>
    </cfRule>
  </conditionalFormatting>
  <conditionalFormatting sqref="D17:J17">
    <cfRule type="expression" dxfId="83" priority="128" stopIfTrue="1">
      <formula>IF($D$17="",TRUE)</formula>
    </cfRule>
  </conditionalFormatting>
  <conditionalFormatting sqref="D18:J18">
    <cfRule type="expression" dxfId="82" priority="129" stopIfTrue="1">
      <formula>IF($D$18="",TRUE)</formula>
    </cfRule>
  </conditionalFormatting>
  <conditionalFormatting sqref="D22:E22">
    <cfRule type="expression" dxfId="81" priority="132" stopIfTrue="1">
      <formula>IF($D$22="",TRUE)</formula>
    </cfRule>
  </conditionalFormatting>
  <conditionalFormatting sqref="D10:J10">
    <cfRule type="expression" dxfId="80" priority="29" stopIfTrue="1">
      <formula>IF($D$9=$Q$9,TRUE)</formula>
    </cfRule>
    <cfRule type="expression" dxfId="79" priority="139" stopIfTrue="1">
      <formula>IF(AND($D$10="",$D$9=$R$9),TRUE)</formula>
    </cfRule>
  </conditionalFormatting>
  <conditionalFormatting sqref="D34:E34 D40:E40 D46:E46 D52:E52 D58:E58">
    <cfRule type="expression" dxfId="78" priority="22" stopIfTrue="1">
      <formula>$P$28=""</formula>
    </cfRule>
  </conditionalFormatting>
  <conditionalFormatting sqref="D35:E35 D41:E41 D47:E47 D53:E53 D59:E59">
    <cfRule type="expression" dxfId="77" priority="137" stopIfTrue="1">
      <formula>$P$29=""</formula>
    </cfRule>
  </conditionalFormatting>
  <conditionalFormatting sqref="D34 D40 D46 D52 D58">
    <cfRule type="expression" dxfId="76" priority="135" stopIfTrue="1">
      <formula>IF(AND(OR($D$28="Yes",$D$28=""),D34=""),1,0)</formula>
    </cfRule>
  </conditionalFormatting>
  <conditionalFormatting sqref="D32:E32 D38:E38 D44:E44 D50:E50 D56:E56">
    <cfRule type="expression" dxfId="75" priority="26" stopIfTrue="1">
      <formula>IF(AND(OR($D$26="No",$D$26="Unknown"),D32=""),1,0)</formula>
    </cfRule>
    <cfRule type="expression" dxfId="74" priority="27" stopIfTrue="1">
      <formula>IF(AND(OR($D$26="Yes",$D$26=""),D32=""),1,0)</formula>
    </cfRule>
  </conditionalFormatting>
  <conditionalFormatting sqref="G73:J73">
    <cfRule type="expression" dxfId="73" priority="20" stopIfTrue="1">
      <formula>IF(AND($D$73="Yes, using other format (describe)",$G$73=""),TRUE)</formula>
    </cfRule>
  </conditionalFormatting>
  <conditionalFormatting sqref="D33:E33 D39:E39 D45:E45 D51:E51 D57:E57">
    <cfRule type="expression" dxfId="72" priority="133" stopIfTrue="1">
      <formula>$P$33=""</formula>
    </cfRule>
    <cfRule type="expression" dxfId="71" priority="134" stopIfTrue="1">
      <formula>IF(AND(OR($D$27="Yes",$D$27=""),D33=""),1,0)</formula>
    </cfRule>
  </conditionalFormatting>
  <conditionalFormatting sqref="D35:E35 D41:E41 D47:E47 D53:E53 D59:E59">
    <cfRule type="expression" dxfId="70" priority="138" stopIfTrue="1">
      <formula>IF(AND(OR($D$29="Yes",$D$29=""),D35=""),1,0)</formula>
    </cfRule>
  </conditionalFormatting>
  <conditionalFormatting sqref="D20:J20">
    <cfRule type="expression" dxfId="69" priority="8" stopIfTrue="1">
      <formula>IF($D$20="",TRUE)</formula>
    </cfRule>
  </conditionalFormatting>
  <conditionalFormatting sqref="D27 D33 D39 D45 D51 D57">
    <cfRule type="expression" dxfId="68" priority="7" stopIfTrue="1">
      <formula>IF($D$27="No",TRUE)</formula>
    </cfRule>
  </conditionalFormatting>
  <conditionalFormatting sqref="D28 D34 D40 D46 D52 D58">
    <cfRule type="expression" dxfId="67" priority="6">
      <formula>IF($D$28="No",TRUE)</formula>
    </cfRule>
  </conditionalFormatting>
  <conditionalFormatting sqref="D29 D35 D41 D47 D53 D59">
    <cfRule type="expression" dxfId="66" priority="5">
      <formula>IF($D$29="No",TRUE)</formula>
    </cfRule>
  </conditionalFormatting>
  <conditionalFormatting sqref="G63:J63">
    <cfRule type="expression" dxfId="65" priority="2">
      <formula>IF(AND($D$63="Yes",$G$63=""),TRUE)</formula>
    </cfRule>
  </conditionalFormatting>
  <conditionalFormatting sqref="G75:J75">
    <cfRule type="expression" dxfId="64"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D16" r:id="rId1" xr:uid="{E61FE43C-7E5C-4002-A794-31091C1737B6}"/>
    <hyperlink ref="D20" r:id="rId2" xr:uid="{2821E2C5-E929-4233-B27A-FADB73E3C26E}"/>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B5" sqref="B5"/>
    </sheetView>
  </sheetViews>
  <sheetFormatPr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22"/>
      <c r="K2" s="423"/>
      <c r="L2" s="423"/>
      <c r="M2" s="423"/>
      <c r="N2" s="423"/>
      <c r="O2" s="423"/>
      <c r="P2" s="209"/>
      <c r="Q2" s="210"/>
      <c r="R2" s="211"/>
      <c r="S2" s="211"/>
      <c r="T2" s="211"/>
      <c r="U2" s="165"/>
      <c r="V2" s="165"/>
      <c r="W2" s="166"/>
      <c r="X2" s="165"/>
      <c r="Y2" s="165"/>
      <c r="Z2" s="165"/>
      <c r="AH2" s="153" t="s">
        <v>371</v>
      </c>
    </row>
    <row r="3" spans="1:34" s="20" customFormat="1" ht="241.15" customHeight="1">
      <c r="A3" s="280"/>
      <c r="B3" s="424"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4"/>
      <c r="D3" s="424"/>
      <c r="E3" s="424"/>
      <c r="F3" s="212"/>
      <c r="G3" s="425" t="str">
        <f ca="1">OFFSET(L!$C$1,MATCH("General"&amp;"Cpy",L!$A:$A,0)-1,SL,,)</f>
        <v>© 2020 Responsible Minerals Initiative. All rights reserved.</v>
      </c>
      <c r="H3" s="425"/>
      <c r="I3" s="426"/>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276"/>
      <c r="B5" s="191" t="str">
        <f>IF(LEN(A5)=0,"",INDEX('Smelter Look-up'!$A:$A,MATCH($A5,'Smelter Look-up'!$E:$E,0)))</f>
        <v/>
      </c>
      <c r="C5" s="197" t="str">
        <f>IF(LEN(A5)=0,"",INDEX('Smelter Look-up'!$C:$C,MATCH($A5,'Smelter Look-up'!$E:$E,0)))</f>
        <v/>
      </c>
      <c r="D5" s="191"/>
      <c r="E5" s="191" t="str">
        <f ca="1">IF(ISERROR($V5),"",OFFSET('Smelter Look-up'!$D$4,$V5-4,0)&amp;"")</f>
        <v/>
      </c>
      <c r="F5" s="191" t="str">
        <f ca="1">IF(ISERROR($V5),"",OFFSET('Smelter Look-up'!$E$4,$V5-4,0))</f>
        <v/>
      </c>
      <c r="G5" s="191" t="str">
        <f ca="1">IF(C5=$X$4,"Enter smelter details",IF(ISERROR($V5),"",OFFSET('Smelter Look-up'!$F$4,$V5-4,0)))</f>
        <v/>
      </c>
      <c r="H5" s="192" t="str">
        <f ca="1">IF(ISERROR($V5),"",OFFSET('Smelter Look-up'!$G$4,$V5-4,0))</f>
        <v/>
      </c>
      <c r="I5" s="193" t="str">
        <f ca="1">IF(ISERROR($V5),"",OFFSET('Smelter Look-up'!$H$4,$V5-4,0))</f>
        <v/>
      </c>
      <c r="J5" s="193" t="str">
        <f ca="1">IF(ISERROR($V5),"",OFFSET('Smelter Look-up'!$I$4,$V5-4,0))</f>
        <v/>
      </c>
      <c r="K5" s="195"/>
      <c r="L5" s="195"/>
      <c r="M5" s="195"/>
      <c r="N5" s="195"/>
      <c r="O5" s="195"/>
      <c r="P5" s="194"/>
      <c r="Q5" s="196"/>
      <c r="R5" s="191" t="str">
        <f ca="1">IF(ISERROR($V5),"",OFFSET('Smelter Look-up'!$C$4,$V5-4,0)&amp;"")</f>
        <v/>
      </c>
      <c r="S5" s="200" t="str">
        <f t="shared" ref="S5:S64" ca="1" si="0">IF(B5="","",IF(ISERROR(MATCH($E5,CL,0)),"Unknown",INDIRECT("'C'!$A$"&amp;MATCH($E5,CL,0)+1)))</f>
        <v/>
      </c>
      <c r="T5" s="200" t="str">
        <f ca="1">IF(B5="","",IF(ISERROR(MATCH($J5,SorP!$B$1:$B$6230,0)),"",INDIRECT("'SorP'!$A$"&amp;MATCH($J5,SorP!$B$1:$B$6230,0))))</f>
        <v/>
      </c>
      <c r="U5" s="217"/>
      <c r="V5" s="218" t="e">
        <f>IF(C5="",NA(),MATCH($B5&amp;$C5,'Smelter Look-up'!$J:$J,0))</f>
        <v>#N/A</v>
      </c>
      <c r="W5" s="219"/>
      <c r="X5" s="219">
        <f t="shared" ref="X5:X63" ca="1" si="1">IF(AND(C5="Smelter not listed",OR(LEN(D5)=0,LEN(E5)=0)),1,0)</f>
        <v>0</v>
      </c>
      <c r="Y5" s="219"/>
      <c r="Z5" s="219"/>
      <c r="AB5" s="220" t="str">
        <f t="shared" ref="AB5:AB63" si="2">B5&amp;C5</f>
        <v/>
      </c>
    </row>
    <row r="6" spans="1:34" s="220" customFormat="1" ht="20.25">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25">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25">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25">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25">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25">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25">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25">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25">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25">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25">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25">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25">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25">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25">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25">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25">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25">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25">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25">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25">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25">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5" thickTop="1">
      <c r="U2501" s="221"/>
      <c r="V2501" s="221"/>
      <c r="W2501" s="221"/>
      <c r="X2501" s="221"/>
      <c r="Y2501" s="221"/>
      <c r="Z2501" s="221"/>
    </row>
    <row r="2502" spans="1:35" ht="13.5"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8">
    <cfRule type="expression" dxfId="63" priority="20" stopIfTrue="1">
      <formula>IF(B5="",TRUE)</formula>
    </cfRule>
  </conditionalFormatting>
  <conditionalFormatting sqref="D5:D2498">
    <cfRule type="expression" dxfId="62" priority="14" stopIfTrue="1">
      <formula>IF(AND(LEN($C5) &gt;0, ($C5 &lt;&gt; "Smelter Not Listed")),1,0)</formula>
    </cfRule>
    <cfRule type="expression" dxfId="61" priority="39" stopIfTrue="1">
      <formula>IF(AND(D5="",$C5=$X$4),TRUE)</formula>
    </cfRule>
    <cfRule type="expression" dxfId="60" priority="40" stopIfTrue="1">
      <formula>IF(FIND("!",D5),TRUE)</formula>
    </cfRule>
  </conditionalFormatting>
  <conditionalFormatting sqref="G5:G2498">
    <cfRule type="expression" dxfId="59" priority="41" stopIfTrue="1">
      <formula>IF(FIND("Enter smelter details",G5),TRUE)</formula>
    </cfRule>
  </conditionalFormatting>
  <conditionalFormatting sqref="R5:R2498 E5:E2498">
    <cfRule type="expression" dxfId="58" priority="27" stopIfTrue="1">
      <formula>IF(AND(E5="",$C5=$X$4),TRUE)</formula>
    </cfRule>
    <cfRule type="expression" dxfId="57" priority="28" stopIfTrue="1">
      <formula>IF(FIND("!",E5),TRUE)</formula>
    </cfRule>
  </conditionalFormatting>
  <conditionalFormatting sqref="F5:F2498">
    <cfRule type="expression" dxfId="56" priority="18" stopIfTrue="1">
      <formula>IF(AND(LEN($A5)&gt;0,$A5&lt;&gt;$F5),TRUE,FALSE)</formula>
    </cfRule>
  </conditionalFormatting>
  <conditionalFormatting sqref="C5:C2500">
    <cfRule type="expression" dxfId="55" priority="17" stopIfTrue="1">
      <formula>IF(AND(#REF!&lt;&gt;"",C5=""),TRUE)</formula>
    </cfRule>
  </conditionalFormatting>
  <conditionalFormatting sqref="A53">
    <cfRule type="expression" priority="10">
      <formula>$A$5:$Q1996&lt;&gt;""</formula>
    </cfRule>
  </conditionalFormatting>
  <conditionalFormatting sqref="B2499:B2500">
    <cfRule type="expression" dxfId="54" priority="4" stopIfTrue="1">
      <formula>IF(B2499="",TRUE)</formula>
    </cfRule>
  </conditionalFormatting>
  <conditionalFormatting sqref="D2499:D2500">
    <cfRule type="expression" dxfId="53" priority="1" stopIfTrue="1">
      <formula>IF(AND(LEN($C2499) &gt;0, ($C2499 &lt;&gt; "Smelter Not Listed")),1,0)</formula>
    </cfRule>
    <cfRule type="expression" dxfId="52" priority="7" stopIfTrue="1">
      <formula>IF(AND(D2499="",$C2499=$X$4),TRUE)</formula>
    </cfRule>
    <cfRule type="expression" dxfId="51" priority="8" stopIfTrue="1">
      <formula>IF(FIND("!",D2499),TRUE)</formula>
    </cfRule>
  </conditionalFormatting>
  <conditionalFormatting sqref="G2499:G2500">
    <cfRule type="expression" dxfId="50" priority="9" stopIfTrue="1">
      <formula>IF(FIND("Enter smelter details",G2499),TRUE)</formula>
    </cfRule>
  </conditionalFormatting>
  <conditionalFormatting sqref="R2499:R2500 E2499:E2500">
    <cfRule type="expression" dxfId="49" priority="5" stopIfTrue="1">
      <formula>IF(AND(E2499="",$C2499=$X$4),TRUE)</formula>
    </cfRule>
    <cfRule type="expression" dxfId="48" priority="6" stopIfTrue="1">
      <formula>IF(FIND("!",E2499),TRUE)</formula>
    </cfRule>
  </conditionalFormatting>
  <conditionalFormatting sqref="F2499:F2500">
    <cfRule type="expression" dxfId="47" priority="3" stopIfTrue="1">
      <formula>IF(AND(LEN($A2499)&gt;0,$A2499&lt;&gt;$F2499),TRUE,FALSE)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workbookViewId="0">
      <pane xSplit="1" ySplit="3" topLeftCell="B56" activePane="bottomRight" state="frozen"/>
      <selection activeCell="B24" sqref="B24:J24"/>
      <selection pane="topRight" activeCell="B24" sqref="B24:J24"/>
      <selection pane="bottomLeft" activeCell="B24" sqref="B24:J24"/>
      <selection pane="bottomRight" activeCell="C55" sqref="C55"/>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27" t="str">
        <f ca="1">OFFSET(L!$C$1,MATCH("Checker"&amp;ADDRESS(ROW(),COLUMN(),4),L!$A:$A,0)-1,SL,,)</f>
        <v>To ensure all required fields have been populated before submitting to your customers review form for any line items highlighted in red</v>
      </c>
      <c r="B1" s="427"/>
      <c r="C1" s="427"/>
      <c r="D1" s="127" t="str">
        <f ca="1">OFFSET(L!$C$1,MATCH("Checker"&amp;ADDRESS(ROW(),COLUMN(),4),L!$A:$A,0)-1,SL,,)</f>
        <v>Required fields remaining to be completed</v>
      </c>
      <c r="E1" s="74" t="s">
        <v>439</v>
      </c>
    </row>
    <row r="2" spans="1:10" ht="15">
      <c r="A2" s="67" t="s">
        <v>484</v>
      </c>
      <c r="B2" s="68" t="str">
        <f>IF(F57=1,"Click here to return to Smelter List","")</f>
        <v/>
      </c>
      <c r="C2" s="131" t="str">
        <f>IF(F56=1,"Click here to return to Product List","")</f>
        <v/>
      </c>
      <c r="D2" s="158"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Progressive Alloy Steels Unlimited, Inc.</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C. User defined [Specify in 'Description of scope']</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 (*)</v>
      </c>
      <c r="B6" s="90" t="str">
        <f>Declaration!D10</f>
        <v>Usage analyzed completely on a per company basis</v>
      </c>
      <c r="C6" s="90" t="str">
        <f t="shared" ca="1" si="0"/>
        <v>Complete</v>
      </c>
      <c r="D6" s="96" t="str">
        <f>IF(H6=1,"Click here to provide a Description of Scope","")</f>
        <v/>
      </c>
      <c r="E6" s="74" t="s">
        <v>744</v>
      </c>
      <c r="F6" s="95">
        <f>IF(OR(B5=Declaration!P9,B5=Declaration!Q9,B5=0),0,1)</f>
        <v>1</v>
      </c>
      <c r="G6" s="71">
        <f t="shared" si="1"/>
        <v>0</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Patrick Servenack</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pservenack@progressivealloy.com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800.798.5619</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Patrick Servenack</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pservenack@progressivealloy.om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702.405.2710</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44414</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No</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 xml:space="preserve">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t="str">
        <f>Declaration!D32</f>
        <v>No</v>
      </c>
      <c r="C20" s="161" t="str">
        <f t="shared" ca="1" si="3"/>
        <v>Complete</v>
      </c>
      <c r="D20" s="96" t="str">
        <f>IF(H20=1,"Click here to answer question 2 for Cobalt","")</f>
        <v/>
      </c>
      <c r="E20" s="74" t="s">
        <v>440</v>
      </c>
      <c r="F20" s="95">
        <f>IF(OR(B$15="No",B$15="Unknown"),0,1)</f>
        <v>0</v>
      </c>
      <c r="G20" s="71">
        <f t="shared" ref="G20:G55" si="5">IF(B20=0,1,0)</f>
        <v>0</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 xml:space="preserve">3) Does 100 percent of the cobalt originate from recycled or scrap sources? </v>
      </c>
      <c r="B24" s="93"/>
      <c r="C24" s="93"/>
      <c r="D24" s="97"/>
      <c r="E24" s="74" t="s">
        <v>744</v>
      </c>
      <c r="F24" s="94"/>
      <c r="G24" s="19"/>
      <c r="H24" s="19"/>
      <c r="J24" s="157"/>
    </row>
    <row r="25" spans="1:10" ht="39">
      <c r="A25" s="91" t="str">
        <f ca="1">Declaration!B38</f>
        <v>Cobalt</v>
      </c>
      <c r="B25" s="90" t="str">
        <f>Declaration!D38</f>
        <v>Unknown</v>
      </c>
      <c r="C25" s="161" t="str">
        <f ca="1">IF(H25=1,J25,I25)</f>
        <v>Complete</v>
      </c>
      <c r="D25" s="96" t="str">
        <f>IF(H25=1,"Click here to answer question 3 for Cobalt","")</f>
        <v/>
      </c>
      <c r="E25" s="74" t="s">
        <v>744</v>
      </c>
      <c r="F25" s="95">
        <f>F20</f>
        <v>0</v>
      </c>
      <c r="G25" s="71">
        <f>IF(B25=0,1,0)</f>
        <v>0</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t="str">
        <f>Declaration!D44</f>
        <v>None</v>
      </c>
      <c r="C30" s="161" t="str">
        <f t="shared" ca="1" si="3"/>
        <v>Complete</v>
      </c>
      <c r="D30" s="98" t="str">
        <f>IF(H30=1,"Click here to answer question 4 for Cobalt","")</f>
        <v/>
      </c>
      <c r="E30" s="74" t="s">
        <v>439</v>
      </c>
      <c r="F30" s="95">
        <f>F20</f>
        <v>0</v>
      </c>
      <c r="G30" s="71">
        <f t="shared" si="5"/>
        <v>0</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 xml:space="preserve">5) Have you identified all of the smelters supplying the cobalt to your supply chain? </v>
      </c>
      <c r="B34" s="93"/>
      <c r="C34" s="93"/>
      <c r="D34" s="97"/>
      <c r="E34" s="74" t="s">
        <v>441</v>
      </c>
      <c r="F34" s="94"/>
      <c r="G34" s="19"/>
      <c r="H34" s="19"/>
    </row>
    <row r="35" spans="1:10" ht="51.75">
      <c r="A35" s="91" t="str">
        <f ca="1">Declaration!B50</f>
        <v>Cobalt</v>
      </c>
      <c r="B35" s="90" t="str">
        <f>Declaration!D50</f>
        <v>No</v>
      </c>
      <c r="C35" s="161" t="str">
        <f t="shared" ca="1" si="3"/>
        <v>Complete</v>
      </c>
      <c r="D35" s="98" t="str">
        <f>IF(H35=1,"Click here to answer question 5 for Cobalt","")</f>
        <v/>
      </c>
      <c r="E35" s="74" t="s">
        <v>743</v>
      </c>
      <c r="F35" s="95">
        <f>F20</f>
        <v>0</v>
      </c>
      <c r="G35" s="71">
        <f t="shared" si="5"/>
        <v>0</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 xml:space="preserve">6) Has all applicable smelter information received by your company been reported in this declaration? </v>
      </c>
      <c r="B39" s="93"/>
      <c r="C39" s="93"/>
      <c r="D39" s="97"/>
      <c r="E39" s="74" t="s">
        <v>442</v>
      </c>
      <c r="F39" s="94"/>
      <c r="G39" s="19"/>
      <c r="H39" s="19"/>
    </row>
    <row r="40" spans="1:10" ht="39">
      <c r="A40" s="91" t="str">
        <f ca="1">Declaration!B56</f>
        <v>Cobalt</v>
      </c>
      <c r="B40" s="90">
        <f>Declaration!D56</f>
        <v>0</v>
      </c>
      <c r="C40" s="161" t="str">
        <f t="shared" ca="1" si="3"/>
        <v>Complete</v>
      </c>
      <c r="D40" s="98" t="str">
        <f>IF(H40=1,"Click here to answer question 6 for Cobalt","")</f>
        <v/>
      </c>
      <c r="E40" s="74" t="s">
        <v>440</v>
      </c>
      <c r="F40" s="95">
        <f>F20</f>
        <v>0</v>
      </c>
      <c r="G40" s="71">
        <f t="shared" si="5"/>
        <v>1</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Yes</v>
      </c>
      <c r="C45" s="161" t="str">
        <f t="shared" ca="1" si="3"/>
        <v>Complete</v>
      </c>
      <c r="D45" s="267" t="str">
        <f>IF(H45=1,"Click here to answer question (A)","")</f>
        <v/>
      </c>
      <c r="E45" s="74" t="s">
        <v>744</v>
      </c>
      <c r="F45" s="95">
        <f>IF(SUM(F$20:F$23)=0,0,1)</f>
        <v>0</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25.5">
      <c r="A46" s="90" t="s">
        <v>0</v>
      </c>
      <c r="B46" s="90" t="str">
        <f>Declaration!G63</f>
        <v>Mandatory compliance documented on PASU Purchase Order Terms and Conditions</v>
      </c>
      <c r="C46" s="90" t="str">
        <f ca="1">IF(H46=1,J46,I46)</f>
        <v>Complete</v>
      </c>
      <c r="D46" s="96" t="str">
        <f>IF(H46=1,"Click here to specify URL for question (A)","")</f>
        <v/>
      </c>
      <c r="E46" s="74"/>
      <c r="F46" s="95">
        <f>IF(AND(F45=1,B45="Yes"),1,0)</f>
        <v>0</v>
      </c>
      <c r="G46" s="71">
        <f>IF(LEN(B46)&gt;1,0,1)</f>
        <v>0</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 xml:space="preserve">B. Does your policy cover, at a minimum, all risks in the OECD Due Diligence Guidance Annex II Model Policy, as well as the worst forms of child labor? </v>
      </c>
      <c r="B47" s="90" t="str">
        <f>Declaration!D65</f>
        <v>Yes</v>
      </c>
      <c r="C47" s="161" t="str">
        <f ca="1">IF(H47=1,J47,I47)</f>
        <v>Complete</v>
      </c>
      <c r="D47" s="268" t="str">
        <f>IF(H47=1,"Click here to answer question (B)","")</f>
        <v/>
      </c>
      <c r="E47" s="74" t="s">
        <v>744</v>
      </c>
      <c r="F47" s="95">
        <f t="shared" ref="F47:F55" si="7">F$45</f>
        <v>0</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t="str">
        <f>Declaration!D67</f>
        <v>Yes</v>
      </c>
      <c r="C48" s="161" t="str">
        <f ca="1">IF(H48=1,J48,I48)</f>
        <v>Complete</v>
      </c>
      <c r="D48" s="268" t="str">
        <f>IF(H48=1,"Click here to answer question (C)","")</f>
        <v/>
      </c>
      <c r="E48" s="74" t="s">
        <v>744</v>
      </c>
      <c r="F48" s="95">
        <f t="shared" si="7"/>
        <v>0</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51">
      <c r="A49" s="90" t="str">
        <f ca="1">Declaration!B69</f>
        <v xml:space="preserve">D. Do you require suppliers to exercise due diligence over the cobalt supply chain in accordance with the OECD Due Diligence Guidance? </v>
      </c>
      <c r="B49" s="90" t="str">
        <f>Declaration!D69</f>
        <v>Yes</v>
      </c>
      <c r="C49" s="346" t="str">
        <f t="shared" ca="1" si="3"/>
        <v>Complete</v>
      </c>
      <c r="D49" s="268" t="str">
        <f>IF(H49=1,"Click here to answer question (D)","")</f>
        <v/>
      </c>
      <c r="E49" s="74" t="s">
        <v>744</v>
      </c>
      <c r="F49" s="95">
        <f t="shared" si="7"/>
        <v>0</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 xml:space="preserve">E. Do you require your direct suppliers to source cobalt from smelters whose due diligence practices have been validated by an independent third party audit program? </v>
      </c>
      <c r="B50" s="90" t="str">
        <f>Declaration!D71</f>
        <v>No</v>
      </c>
      <c r="C50" s="161" t="str">
        <f ca="1">IF(H50=1,J50,I50)</f>
        <v>Complete</v>
      </c>
      <c r="D50" s="268" t="str">
        <f>IF(H50=1,"Click here to answer question (E)","")</f>
        <v/>
      </c>
      <c r="E50" s="74" t="s">
        <v>744</v>
      </c>
      <c r="F50" s="95">
        <f t="shared" si="7"/>
        <v>0</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 xml:space="preserve">F. Do you require suppliers' due diligence practices to cover, at a minimum, all risks in the OECD Due Diligence Guidance Annex II Model Policy, as well as the worst forms of child labor? </v>
      </c>
      <c r="B51" s="90" t="str">
        <f>Declaration!D73</f>
        <v>Yes</v>
      </c>
      <c r="C51" s="346" t="str">
        <f t="shared" ca="1" si="3"/>
        <v>Complete</v>
      </c>
      <c r="D51" s="268" t="str">
        <f>IF(H51=1,"Click here to answer question (F)","")</f>
        <v/>
      </c>
      <c r="E51" s="74" t="s">
        <v>744</v>
      </c>
      <c r="F51" s="95">
        <f t="shared" si="7"/>
        <v>0</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 xml:space="preserve">G. Does your company conduct cobalt supply chain survey(s) of your relevant supplier(s)? </v>
      </c>
      <c r="B53" s="90" t="str">
        <f>IF(Declaration!D75="No",Declaration!D75,IF(Declaration!D75="Yes, CRT",Declaration!D75,IF(Declaration!D75="Yes, Using Other Format (Describe)",Declaration!G75,0)))</f>
        <v>No</v>
      </c>
      <c r="C53" s="161" t="str">
        <f t="shared" ca="1" si="3"/>
        <v>Complete</v>
      </c>
      <c r="D53" s="268" t="str">
        <f>IF(H53=1,"Click here to answer question (G)","")</f>
        <v/>
      </c>
      <c r="E53" s="74" t="s">
        <v>744</v>
      </c>
      <c r="F53" s="95">
        <f t="shared" si="7"/>
        <v>0</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 xml:space="preserve">H. Do you review due diligence information received from your suppliers against your company’s expectations? </v>
      </c>
      <c r="B54" s="90" t="str">
        <f>Declaration!D77</f>
        <v>No</v>
      </c>
      <c r="C54" s="346" t="str">
        <f t="shared" ca="1" si="3"/>
        <v>Complete</v>
      </c>
      <c r="D54" s="268" t="str">
        <f>IF(H54=1,"Click here to answer question (H)","")</f>
        <v/>
      </c>
      <c r="E54" s="74" t="s">
        <v>744</v>
      </c>
      <c r="F54" s="95">
        <f t="shared" si="7"/>
        <v>0</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 xml:space="preserve">I. Does your review process include corrective action management? </v>
      </c>
      <c r="B55" s="90" t="str">
        <f>Declaration!D79</f>
        <v>No</v>
      </c>
      <c r="C55" s="346" t="str">
        <f ca="1">IF(H55=1,J55,I55)</f>
        <v>Complete</v>
      </c>
      <c r="D55" s="268" t="str">
        <f>IF(H55=1,"Click here to answer question (I)","")</f>
        <v/>
      </c>
      <c r="E55" s="74" t="s">
        <v>744</v>
      </c>
      <c r="F55" s="95">
        <f t="shared" si="7"/>
        <v>0</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IF(K57=1,L57,IF(B15="No","Not Required",IF(G57=0,I57,J57)))</f>
        <v>Not Required</v>
      </c>
      <c r="D57" s="339" t="str">
        <f>IF(H57=0,"","Click here to provide smelter information")</f>
        <v/>
      </c>
      <c r="E57" s="74" t="s">
        <v>744</v>
      </c>
      <c r="F57" s="95">
        <f>F$45</f>
        <v>0</v>
      </c>
      <c r="G57" s="71">
        <f>IF(AND(COUNTIF(SmelterIdetifiedForMetal,"Cobalt")&gt;0,COUNTIF('Smelter List'!AB$5:AB$2500,"Cobalt?*")&gt;0),0,1)</f>
        <v>1</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0</v>
      </c>
      <c r="G58" s="71">
        <f>IF(COUNTIF('Smelter List'!C5:C9,"")&lt;10,0,1)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0</v>
      </c>
      <c r="G59" s="71">
        <f>IF(COUNTIF('Smelter List'!C5:C10,"")&lt;10,0,1)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0</v>
      </c>
      <c r="G60" s="71">
        <f>IF(COUNTIF('Smelter List'!C5:C11,"")&lt;10,0,1)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dxfId="14"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3" priority="52" stopIfTrue="1">
      <formula>OR(C48="Complete",C48="填写", C48="記入済",C48="완료",C48="Complétez",C48="Concluído",C48="Vollständig",C48="Completare",C48="Doldurun")</formula>
    </cfRule>
    <cfRule type="expression" dxfId="12" priority="16" stopIfTrue="1">
      <formula>B15="No"</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 ref="D56" location="'Product List'!A1" display="'Product List'!A1" xr:uid="{00000000-0004-0000-0500-00000A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29" t="str">
        <f ca="1">OFFSET(L!$C$1,MATCH("Product List"&amp;ADDRESS(ROW(),COLUMN(),4),L!$A:$A,0)-1,SL,,)</f>
        <v>Completion required only if reporting level "Product (or List of Products)" selected on the 'Declaration' worksheet.</v>
      </c>
      <c r="B1" s="430"/>
      <c r="C1" s="430"/>
      <c r="D1" s="430"/>
      <c r="E1" s="126"/>
    </row>
    <row r="2" spans="1:35">
      <c r="A2" s="23"/>
      <c r="B2" s="128"/>
      <c r="C2" s="128"/>
      <c r="D2"/>
      <c r="E2" s="24"/>
    </row>
    <row r="3" spans="1:35">
      <c r="A3" s="23"/>
      <c r="B3" s="128"/>
      <c r="C3" s="128"/>
      <c r="D3" s="128"/>
      <c r="E3" s="24"/>
    </row>
    <row r="4" spans="1:35" ht="15.75" customHeight="1">
      <c r="A4" s="23"/>
      <c r="B4" s="428" t="s">
        <v>484</v>
      </c>
      <c r="C4" s="428"/>
      <c r="D4" s="428"/>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1" t="str">
        <f ca="1">OFFSET(L!$C$1,MATCH("General"&amp;"Cpy",L!$A:$A,0)-1,SL,,)</f>
        <v>© 2020 Responsible Minerals Initiative. All rights reserved.</v>
      </c>
      <c r="C1001" s="431"/>
      <c r="D1001" s="431"/>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3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2"/>
      <c r="C1" s="432"/>
      <c r="D1" s="432"/>
      <c r="E1" s="432"/>
      <c r="F1" s="432"/>
      <c r="G1" s="432"/>
    </row>
    <row r="2" spans="1:13">
      <c r="A2" s="433"/>
      <c r="B2" s="433"/>
      <c r="C2" s="433"/>
      <c r="D2" s="433"/>
      <c r="E2" s="433"/>
      <c r="F2" s="433"/>
      <c r="G2" s="433"/>
      <c r="H2" s="433"/>
      <c r="I2" s="433"/>
    </row>
    <row r="3" spans="1:13">
      <c r="A3" s="433"/>
      <c r="B3" s="433"/>
      <c r="C3" s="433"/>
      <c r="D3" s="433"/>
      <c r="E3" s="433"/>
      <c r="F3" s="433"/>
      <c r="G3" s="433"/>
      <c r="H3" s="433"/>
      <c r="I3" s="433"/>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ht="28.5">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114">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28.25">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2.7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9.7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2.7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57">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56.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213.7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84.7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35">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7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56.7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70.7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99.2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128.2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71.25">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28.25">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42.25">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228">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99.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42.25">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409.5">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213.7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45">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28.25">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71.25">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ht="28.5">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28.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28.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ht="28.5">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ht="28.5">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99.75">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99.75">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99.75">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99.75">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85.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71.25">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ht="28.5">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ht="28.5">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99.75">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8.5">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42.75">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99.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8.5">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2.7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99.75">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xr:uid="{00000000-0009-0000-0000-000008000000}"/>
  <customSheetViews>
    <customSheetView guid="{4BDF1A28-30D5-449D-B20E-D6C97EF9FAE1}" showAutoFilter="1">
      <selection activeCell="C174" sqref="C174"/>
      <pageMargins left="0.75" right="0.75" top="1" bottom="1" header="0.3" footer="0.3"/>
      <pageSetup paperSize="9" orientation="portrait"/>
      <autoFilter ref="B1:N1" xr:uid="{00000000-0000-0000-0000-000000000000}"/>
    </customSheetView>
    <customSheetView guid="{C59130F4-2E03-5E48-94CE-6E4A0484DB9E}" showAutoFilter="1">
      <selection activeCell="E4" sqref="E4"/>
      <pageMargins left="0.75" right="0.75" top="1" bottom="1" header="0.3" footer="0.3"/>
      <pageSetup paperSize="9" orientation="portrait"/>
      <headerFooter alignWithMargins="0"/>
      <autoFilter ref="B1:N1" xr:uid="{00000000-0000-0000-0000-000000000000}"/>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www.w3.org/XML/1998/namespace"/>
    <ds:schemaRef ds:uri="a54701f6-876b-4337-a24e-543e1bd311e6"/>
    <ds:schemaRef ds:uri="98893d5f-232f-4f98-b444-edffba233996"/>
    <ds:schemaRef ds:uri="http://schemas.microsoft.com/office/2006/documentManagement/types"/>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Patrick Servenack</cp:lastModifiedBy>
  <cp:lastPrinted>2015-04-21T20:47:43Z</cp:lastPrinted>
  <dcterms:created xsi:type="dcterms:W3CDTF">2010-06-21T21:00:23Z</dcterms:created>
  <dcterms:modified xsi:type="dcterms:W3CDTF">2021-08-06T13:17:43Z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